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riga-my.sharepoint.com/personal/zane_biteniece_riga_lv/Documents/STEAM_RIGA_PLANS/RBS_Puzzle_Day/Riga_Puzzle_Day_2024/"/>
    </mc:Choice>
  </mc:AlternateContent>
  <xr:revisionPtr revIDLastSave="15" documentId="13_ncr:1_{CABEF6CF-3560-488F-9F93-807ED9212B2E}" xr6:coauthVersionLast="47" xr6:coauthVersionMax="47" xr10:uidLastSave="{9F19EA35-6D2F-443E-A814-43F6759A8C5B}"/>
  <bookViews>
    <workbookView xWindow="-120" yWindow="-120" windowWidth="29040" windowHeight="15840" xr2:uid="{00000000-000D-0000-FFFF-FFFF00000000}"/>
  </bookViews>
  <sheets>
    <sheet name="Rezultāti" sheetId="1" r:id="rId1"/>
    <sheet name="Raw" sheetId="2" r:id="rId2"/>
    <sheet name="Sheet4" sheetId="3" r:id="rId3"/>
  </sheets>
  <definedNames>
    <definedName name="_xlnm._FilterDatabase" localSheetId="1" hidden="1">Raw!$B$2:$AO$150</definedName>
    <definedName name="_xlnm._FilterDatabase" localSheetId="0" hidden="1">Rezultāti!$B$3:$C$94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50" i="2" l="1"/>
  <c r="AM150" i="2"/>
  <c r="AJ150" i="2"/>
  <c r="AG150" i="2"/>
  <c r="AD150" i="2"/>
  <c r="AA150" i="2"/>
  <c r="X150" i="2"/>
  <c r="D150" i="2" s="1"/>
  <c r="U150" i="2"/>
  <c r="R150" i="2"/>
  <c r="O150" i="2"/>
  <c r="L150" i="2"/>
  <c r="C150" i="2"/>
  <c r="C149" i="2" s="1"/>
  <c r="C148" i="2" s="1"/>
  <c r="C147" i="2" s="1"/>
  <c r="C146" i="2" s="1"/>
  <c r="C145" i="2" s="1"/>
  <c r="C144" i="2" s="1"/>
  <c r="AO149" i="2"/>
  <c r="AM149" i="2"/>
  <c r="AJ149" i="2"/>
  <c r="AG149" i="2"/>
  <c r="AD149" i="2"/>
  <c r="AA149" i="2"/>
  <c r="X149" i="2"/>
  <c r="U149" i="2"/>
  <c r="R149" i="2"/>
  <c r="O149" i="2"/>
  <c r="L149" i="2"/>
  <c r="D149" i="2"/>
  <c r="AO148" i="2"/>
  <c r="AM148" i="2"/>
  <c r="AJ148" i="2"/>
  <c r="AG148" i="2"/>
  <c r="AD148" i="2"/>
  <c r="AA148" i="2"/>
  <c r="X148" i="2"/>
  <c r="U148" i="2"/>
  <c r="R148" i="2"/>
  <c r="O148" i="2"/>
  <c r="L148" i="2"/>
  <c r="D148" i="2" s="1"/>
  <c r="AO147" i="2"/>
  <c r="AM147" i="2"/>
  <c r="AJ147" i="2"/>
  <c r="AG147" i="2"/>
  <c r="AD147" i="2"/>
  <c r="AA147" i="2"/>
  <c r="X147" i="2"/>
  <c r="U147" i="2"/>
  <c r="R147" i="2"/>
  <c r="O147" i="2"/>
  <c r="L147" i="2"/>
  <c r="D147" i="2"/>
  <c r="AO146" i="2"/>
  <c r="AM146" i="2"/>
  <c r="AJ146" i="2"/>
  <c r="AG146" i="2"/>
  <c r="AD146" i="2"/>
  <c r="AA146" i="2"/>
  <c r="X146" i="2"/>
  <c r="U146" i="2"/>
  <c r="R146" i="2"/>
  <c r="O146" i="2"/>
  <c r="L146" i="2"/>
  <c r="D146" i="2" s="1"/>
  <c r="AO145" i="2"/>
  <c r="AM145" i="2"/>
  <c r="AJ145" i="2"/>
  <c r="AG145" i="2"/>
  <c r="AD145" i="2"/>
  <c r="AA145" i="2"/>
  <c r="X145" i="2"/>
  <c r="U145" i="2"/>
  <c r="R145" i="2"/>
  <c r="O145" i="2"/>
  <c r="L145" i="2"/>
  <c r="D145" i="2" s="1"/>
  <c r="AO144" i="2"/>
  <c r="AM144" i="2"/>
  <c r="AJ144" i="2"/>
  <c r="AG144" i="2"/>
  <c r="AD144" i="2"/>
  <c r="AA144" i="2"/>
  <c r="X144" i="2"/>
  <c r="U144" i="2"/>
  <c r="R144" i="2"/>
  <c r="D144" i="2" s="1"/>
  <c r="O144" i="2"/>
  <c r="L144" i="2"/>
  <c r="AL143" i="2"/>
  <c r="AM143" i="2" s="1"/>
  <c r="AI143" i="2"/>
  <c r="AJ143" i="2" s="1"/>
  <c r="AF143" i="2"/>
  <c r="AG143" i="2" s="1"/>
  <c r="AC143" i="2"/>
  <c r="AD143" i="2" s="1"/>
  <c r="Z143" i="2"/>
  <c r="AA143" i="2" s="1"/>
  <c r="W143" i="2"/>
  <c r="X143" i="2" s="1"/>
  <c r="T143" i="2"/>
  <c r="U143" i="2" s="1"/>
  <c r="Q143" i="2"/>
  <c r="R143" i="2" s="1"/>
  <c r="N143" i="2"/>
  <c r="O143" i="2" s="1"/>
  <c r="K143" i="2"/>
  <c r="L143" i="2" s="1"/>
  <c r="J143" i="2"/>
  <c r="I143" i="2"/>
  <c r="H143" i="2"/>
  <c r="G143" i="2"/>
  <c r="AO143" i="2" s="1"/>
  <c r="F143" i="2"/>
  <c r="E143" i="2"/>
  <c r="AL142" i="2"/>
  <c r="AM142" i="2" s="1"/>
  <c r="AI142" i="2"/>
  <c r="AJ142" i="2" s="1"/>
  <c r="AG142" i="2"/>
  <c r="AC142" i="2"/>
  <c r="AD142" i="2" s="1"/>
  <c r="Z142" i="2"/>
  <c r="AA142" i="2" s="1"/>
  <c r="W142" i="2"/>
  <c r="X142" i="2" s="1"/>
  <c r="T142" i="2"/>
  <c r="U142" i="2" s="1"/>
  <c r="R142" i="2"/>
  <c r="N142" i="2"/>
  <c r="O142" i="2" s="1"/>
  <c r="L142" i="2"/>
  <c r="J142" i="2"/>
  <c r="I142" i="2"/>
  <c r="H142" i="2"/>
  <c r="G142" i="2"/>
  <c r="AO142" i="2" s="1"/>
  <c r="F142" i="2"/>
  <c r="E142" i="2"/>
  <c r="B142" i="2"/>
  <c r="AL141" i="2"/>
  <c r="AM141" i="2" s="1"/>
  <c r="AI141" i="2"/>
  <c r="AJ141" i="2" s="1"/>
  <c r="AG141" i="2"/>
  <c r="AC141" i="2"/>
  <c r="AD141" i="2" s="1"/>
  <c r="Z141" i="2"/>
  <c r="AA141" i="2" s="1"/>
  <c r="W141" i="2"/>
  <c r="X141" i="2" s="1"/>
  <c r="U141" i="2"/>
  <c r="R141" i="2"/>
  <c r="N141" i="2"/>
  <c r="O141" i="2" s="1"/>
  <c r="L141" i="2"/>
  <c r="J141" i="2"/>
  <c r="I141" i="2"/>
  <c r="H141" i="2"/>
  <c r="G141" i="2"/>
  <c r="AO141" i="2" s="1"/>
  <c r="F141" i="2"/>
  <c r="E141" i="2"/>
  <c r="B141" i="2"/>
  <c r="AL140" i="2"/>
  <c r="AM140" i="2" s="1"/>
  <c r="AI140" i="2"/>
  <c r="AJ140" i="2" s="1"/>
  <c r="AF140" i="2"/>
  <c r="AG140" i="2" s="1"/>
  <c r="AC140" i="2"/>
  <c r="AD140" i="2" s="1"/>
  <c r="Z140" i="2"/>
  <c r="AA140" i="2" s="1"/>
  <c r="W140" i="2"/>
  <c r="X140" i="2" s="1"/>
  <c r="T140" i="2"/>
  <c r="U140" i="2" s="1"/>
  <c r="Q140" i="2"/>
  <c r="R140" i="2" s="1"/>
  <c r="N140" i="2"/>
  <c r="O140" i="2" s="1"/>
  <c r="K140" i="2"/>
  <c r="L140" i="2" s="1"/>
  <c r="J140" i="2"/>
  <c r="I140" i="2"/>
  <c r="H140" i="2"/>
  <c r="G140" i="2"/>
  <c r="AO140" i="2" s="1"/>
  <c r="F140" i="2"/>
  <c r="E140" i="2"/>
  <c r="AL139" i="2"/>
  <c r="AM139" i="2" s="1"/>
  <c r="AI139" i="2"/>
  <c r="AJ139" i="2" s="1"/>
  <c r="AF139" i="2"/>
  <c r="AG139" i="2" s="1"/>
  <c r="AC139" i="2"/>
  <c r="AD139" i="2" s="1"/>
  <c r="Z139" i="2"/>
  <c r="AA139" i="2" s="1"/>
  <c r="W139" i="2"/>
  <c r="X139" i="2" s="1"/>
  <c r="T139" i="2"/>
  <c r="U139" i="2" s="1"/>
  <c r="Q139" i="2"/>
  <c r="R139" i="2" s="1"/>
  <c r="N139" i="2"/>
  <c r="O139" i="2" s="1"/>
  <c r="K139" i="2"/>
  <c r="L139" i="2" s="1"/>
  <c r="J139" i="2"/>
  <c r="I139" i="2"/>
  <c r="H139" i="2"/>
  <c r="G139" i="2"/>
  <c r="AO139" i="2" s="1"/>
  <c r="F139" i="2"/>
  <c r="E139" i="2"/>
  <c r="AL138" i="2"/>
  <c r="AM138" i="2" s="1"/>
  <c r="AI138" i="2"/>
  <c r="AJ138" i="2" s="1"/>
  <c r="AF138" i="2"/>
  <c r="AG138" i="2" s="1"/>
  <c r="AC138" i="2"/>
  <c r="AD138" i="2" s="1"/>
  <c r="Z138" i="2"/>
  <c r="AA138" i="2" s="1"/>
  <c r="W138" i="2"/>
  <c r="X138" i="2" s="1"/>
  <c r="U138" i="2"/>
  <c r="Q138" i="2"/>
  <c r="R138" i="2" s="1"/>
  <c r="N138" i="2"/>
  <c r="O138" i="2" s="1"/>
  <c r="K138" i="2"/>
  <c r="L138" i="2" s="1"/>
  <c r="J138" i="2"/>
  <c r="I138" i="2"/>
  <c r="H138" i="2"/>
  <c r="G138" i="2"/>
  <c r="F138" i="2"/>
  <c r="E138" i="2"/>
  <c r="AL137" i="2"/>
  <c r="AM137" i="2" s="1"/>
  <c r="AI137" i="2"/>
  <c r="AJ137" i="2" s="1"/>
  <c r="AG137" i="2"/>
  <c r="AC137" i="2"/>
  <c r="AD137" i="2" s="1"/>
  <c r="AA137" i="2"/>
  <c r="W137" i="2"/>
  <c r="X137" i="2" s="1"/>
  <c r="T137" i="2"/>
  <c r="U137" i="2" s="1"/>
  <c r="Q137" i="2"/>
  <c r="R137" i="2" s="1"/>
  <c r="N137" i="2"/>
  <c r="O137" i="2" s="1"/>
  <c r="L137" i="2"/>
  <c r="J137" i="2"/>
  <c r="I137" i="2"/>
  <c r="H137" i="2"/>
  <c r="G137" i="2"/>
  <c r="AO137" i="2" s="1"/>
  <c r="F137" i="2"/>
  <c r="E137" i="2"/>
  <c r="B137" i="2"/>
  <c r="AL136" i="2"/>
  <c r="AM136" i="2" s="1"/>
  <c r="AI136" i="2"/>
  <c r="AJ136" i="2" s="1"/>
  <c r="AF136" i="2"/>
  <c r="AG136" i="2" s="1"/>
  <c r="AC136" i="2"/>
  <c r="AD136" i="2" s="1"/>
  <c r="Z136" i="2"/>
  <c r="AA136" i="2" s="1"/>
  <c r="W136" i="2"/>
  <c r="X136" i="2" s="1"/>
  <c r="T136" i="2"/>
  <c r="U136" i="2" s="1"/>
  <c r="Q136" i="2"/>
  <c r="R136" i="2" s="1"/>
  <c r="N136" i="2"/>
  <c r="O136" i="2" s="1"/>
  <c r="K136" i="2"/>
  <c r="L136" i="2" s="1"/>
  <c r="J136" i="2"/>
  <c r="I136" i="2"/>
  <c r="H136" i="2"/>
  <c r="G136" i="2"/>
  <c r="AO136" i="2" s="1"/>
  <c r="F136" i="2"/>
  <c r="E136" i="2"/>
  <c r="B136" i="2"/>
  <c r="AL135" i="2"/>
  <c r="AM135" i="2" s="1"/>
  <c r="AI135" i="2"/>
  <c r="AJ135" i="2" s="1"/>
  <c r="AF135" i="2"/>
  <c r="AG135" i="2" s="1"/>
  <c r="AC135" i="2"/>
  <c r="AD135" i="2" s="1"/>
  <c r="Z135" i="2"/>
  <c r="AA135" i="2" s="1"/>
  <c r="W135" i="2"/>
  <c r="X135" i="2" s="1"/>
  <c r="T135" i="2"/>
  <c r="U135" i="2" s="1"/>
  <c r="Q135" i="2"/>
  <c r="R135" i="2" s="1"/>
  <c r="N135" i="2"/>
  <c r="O135" i="2" s="1"/>
  <c r="K135" i="2"/>
  <c r="L135" i="2" s="1"/>
  <c r="J135" i="2"/>
  <c r="I135" i="2"/>
  <c r="H135" i="2"/>
  <c r="G135" i="2"/>
  <c r="AO135" i="2" s="1"/>
  <c r="F135" i="2"/>
  <c r="E135" i="2"/>
  <c r="B135" i="2"/>
  <c r="AL134" i="2"/>
  <c r="AM134" i="2" s="1"/>
  <c r="AI134" i="2"/>
  <c r="AJ134" i="2" s="1"/>
  <c r="AF134" i="2"/>
  <c r="AG134" i="2" s="1"/>
  <c r="AC134" i="2"/>
  <c r="AD134" i="2" s="1"/>
  <c r="Z134" i="2"/>
  <c r="AA134" i="2" s="1"/>
  <c r="W134" i="2"/>
  <c r="X134" i="2" s="1"/>
  <c r="T134" i="2"/>
  <c r="U134" i="2" s="1"/>
  <c r="Q134" i="2"/>
  <c r="R134" i="2" s="1"/>
  <c r="N134" i="2"/>
  <c r="O134" i="2" s="1"/>
  <c r="K134" i="2"/>
  <c r="L134" i="2" s="1"/>
  <c r="J134" i="2"/>
  <c r="I134" i="2"/>
  <c r="H134" i="2"/>
  <c r="G134" i="2"/>
  <c r="F134" i="2"/>
  <c r="E134" i="2"/>
  <c r="AL133" i="2"/>
  <c r="AM133" i="2" s="1"/>
  <c r="AI133" i="2"/>
  <c r="AJ133" i="2" s="1"/>
  <c r="AF133" i="2"/>
  <c r="AG133" i="2" s="1"/>
  <c r="AC133" i="2"/>
  <c r="AD133" i="2" s="1"/>
  <c r="Z133" i="2"/>
  <c r="AA133" i="2" s="1"/>
  <c r="W133" i="2"/>
  <c r="X133" i="2" s="1"/>
  <c r="T133" i="2"/>
  <c r="U133" i="2" s="1"/>
  <c r="Q133" i="2"/>
  <c r="R133" i="2" s="1"/>
  <c r="N133" i="2"/>
  <c r="O133" i="2" s="1"/>
  <c r="K133" i="2"/>
  <c r="L133" i="2" s="1"/>
  <c r="J133" i="2"/>
  <c r="I133" i="2"/>
  <c r="H133" i="2"/>
  <c r="G133" i="2"/>
  <c r="F133" i="2"/>
  <c r="E133" i="2"/>
  <c r="AL132" i="2"/>
  <c r="AM132" i="2" s="1"/>
  <c r="AI132" i="2"/>
  <c r="AJ132" i="2" s="1"/>
  <c r="AF132" i="2"/>
  <c r="AG132" i="2" s="1"/>
  <c r="AC132" i="2"/>
  <c r="AD132" i="2" s="1"/>
  <c r="Z132" i="2"/>
  <c r="AA132" i="2" s="1"/>
  <c r="W132" i="2"/>
  <c r="X132" i="2" s="1"/>
  <c r="T132" i="2"/>
  <c r="U132" i="2" s="1"/>
  <c r="Q132" i="2"/>
  <c r="R132" i="2" s="1"/>
  <c r="N132" i="2"/>
  <c r="O132" i="2" s="1"/>
  <c r="K132" i="2"/>
  <c r="L132" i="2" s="1"/>
  <c r="J132" i="2"/>
  <c r="I132" i="2"/>
  <c r="H132" i="2"/>
  <c r="G132" i="2"/>
  <c r="F132" i="2"/>
  <c r="E132" i="2"/>
  <c r="AL131" i="2"/>
  <c r="AM131" i="2" s="1"/>
  <c r="AI131" i="2"/>
  <c r="AJ131" i="2" s="1"/>
  <c r="AF131" i="2"/>
  <c r="AG131" i="2" s="1"/>
  <c r="AC131" i="2"/>
  <c r="AD131" i="2" s="1"/>
  <c r="Z131" i="2"/>
  <c r="AA131" i="2" s="1"/>
  <c r="W131" i="2"/>
  <c r="X131" i="2" s="1"/>
  <c r="T131" i="2"/>
  <c r="U131" i="2" s="1"/>
  <c r="R131" i="2"/>
  <c r="N131" i="2"/>
  <c r="O131" i="2" s="1"/>
  <c r="K131" i="2"/>
  <c r="L131" i="2" s="1"/>
  <c r="J131" i="2"/>
  <c r="I131" i="2"/>
  <c r="H131" i="2"/>
  <c r="G131" i="2"/>
  <c r="F131" i="2"/>
  <c r="E131" i="2"/>
  <c r="AL130" i="2"/>
  <c r="AM130" i="2" s="1"/>
  <c r="AI130" i="2"/>
  <c r="AJ130" i="2" s="1"/>
  <c r="AF130" i="2"/>
  <c r="AG130" i="2" s="1"/>
  <c r="AC130" i="2"/>
  <c r="AD130" i="2" s="1"/>
  <c r="Z130" i="2"/>
  <c r="AA130" i="2" s="1"/>
  <c r="W130" i="2"/>
  <c r="X130" i="2" s="1"/>
  <c r="T130" i="2"/>
  <c r="U130" i="2" s="1"/>
  <c r="Q130" i="2"/>
  <c r="R130" i="2" s="1"/>
  <c r="N130" i="2"/>
  <c r="O130" i="2" s="1"/>
  <c r="K130" i="2"/>
  <c r="L130" i="2" s="1"/>
  <c r="J130" i="2"/>
  <c r="I130" i="2"/>
  <c r="H130" i="2"/>
  <c r="G130" i="2"/>
  <c r="AO130" i="2" s="1"/>
  <c r="F130" i="2"/>
  <c r="E130" i="2"/>
  <c r="AL129" i="2"/>
  <c r="AM129" i="2" s="1"/>
  <c r="AI129" i="2"/>
  <c r="AJ129" i="2" s="1"/>
  <c r="AF129" i="2"/>
  <c r="AG129" i="2" s="1"/>
  <c r="AC129" i="2"/>
  <c r="AD129" i="2" s="1"/>
  <c r="Z129" i="2"/>
  <c r="AA129" i="2" s="1"/>
  <c r="W129" i="2"/>
  <c r="X129" i="2" s="1"/>
  <c r="T129" i="2"/>
  <c r="U129" i="2" s="1"/>
  <c r="Q129" i="2"/>
  <c r="R129" i="2" s="1"/>
  <c r="N129" i="2"/>
  <c r="O129" i="2" s="1"/>
  <c r="K129" i="2"/>
  <c r="L129" i="2" s="1"/>
  <c r="J129" i="2"/>
  <c r="I129" i="2"/>
  <c r="H129" i="2"/>
  <c r="G129" i="2"/>
  <c r="F129" i="2"/>
  <c r="E129" i="2"/>
  <c r="AL128" i="2"/>
  <c r="AM128" i="2" s="1"/>
  <c r="AI128" i="2"/>
  <c r="AJ128" i="2" s="1"/>
  <c r="AF128" i="2"/>
  <c r="AG128" i="2" s="1"/>
  <c r="AC128" i="2"/>
  <c r="AD128" i="2" s="1"/>
  <c r="Z128" i="2"/>
  <c r="AA128" i="2" s="1"/>
  <c r="W128" i="2"/>
  <c r="X128" i="2" s="1"/>
  <c r="T128" i="2"/>
  <c r="U128" i="2" s="1"/>
  <c r="Q128" i="2"/>
  <c r="R128" i="2" s="1"/>
  <c r="N128" i="2"/>
  <c r="O128" i="2" s="1"/>
  <c r="K128" i="2"/>
  <c r="L128" i="2" s="1"/>
  <c r="J128" i="2"/>
  <c r="I128" i="2"/>
  <c r="H128" i="2"/>
  <c r="G128" i="2"/>
  <c r="F128" i="2"/>
  <c r="E128" i="2"/>
  <c r="AL127" i="2"/>
  <c r="AM127" i="2" s="1"/>
  <c r="AI127" i="2"/>
  <c r="AJ127" i="2" s="1"/>
  <c r="AF127" i="2"/>
  <c r="AG127" i="2" s="1"/>
  <c r="AC127" i="2"/>
  <c r="AD127" i="2" s="1"/>
  <c r="Z127" i="2"/>
  <c r="AA127" i="2" s="1"/>
  <c r="W127" i="2"/>
  <c r="X127" i="2" s="1"/>
  <c r="T127" i="2"/>
  <c r="U127" i="2" s="1"/>
  <c r="Q127" i="2"/>
  <c r="R127" i="2" s="1"/>
  <c r="N127" i="2"/>
  <c r="O127" i="2" s="1"/>
  <c r="K127" i="2"/>
  <c r="L127" i="2" s="1"/>
  <c r="J127" i="2"/>
  <c r="I127" i="2"/>
  <c r="H127" i="2"/>
  <c r="G127" i="2"/>
  <c r="AO127" i="2" s="1"/>
  <c r="F127" i="2"/>
  <c r="E127" i="2"/>
  <c r="AL126" i="2"/>
  <c r="AM126" i="2" s="1"/>
  <c r="AI126" i="2"/>
  <c r="AJ126" i="2" s="1"/>
  <c r="AF126" i="2"/>
  <c r="AG126" i="2" s="1"/>
  <c r="AC126" i="2"/>
  <c r="AD126" i="2" s="1"/>
  <c r="Z126" i="2"/>
  <c r="AA126" i="2" s="1"/>
  <c r="W126" i="2"/>
  <c r="X126" i="2" s="1"/>
  <c r="T126" i="2"/>
  <c r="U126" i="2" s="1"/>
  <c r="Q126" i="2"/>
  <c r="R126" i="2" s="1"/>
  <c r="N126" i="2"/>
  <c r="O126" i="2" s="1"/>
  <c r="K126" i="2"/>
  <c r="L126" i="2" s="1"/>
  <c r="J126" i="2"/>
  <c r="I126" i="2"/>
  <c r="H126" i="2"/>
  <c r="G126" i="2"/>
  <c r="F126" i="2"/>
  <c r="E126" i="2"/>
  <c r="AL125" i="2"/>
  <c r="AM125" i="2" s="1"/>
  <c r="AI125" i="2"/>
  <c r="AJ125" i="2" s="1"/>
  <c r="AF125" i="2"/>
  <c r="AG125" i="2" s="1"/>
  <c r="AC125" i="2"/>
  <c r="AD125" i="2" s="1"/>
  <c r="Z125" i="2"/>
  <c r="AA125" i="2" s="1"/>
  <c r="W125" i="2"/>
  <c r="X125" i="2" s="1"/>
  <c r="T125" i="2"/>
  <c r="U125" i="2" s="1"/>
  <c r="Q125" i="2"/>
  <c r="R125" i="2" s="1"/>
  <c r="N125" i="2"/>
  <c r="O125" i="2" s="1"/>
  <c r="K125" i="2"/>
  <c r="L125" i="2" s="1"/>
  <c r="J125" i="2"/>
  <c r="I125" i="2"/>
  <c r="H125" i="2"/>
  <c r="G125" i="2"/>
  <c r="AO125" i="2" s="1"/>
  <c r="F125" i="2"/>
  <c r="E125" i="2"/>
  <c r="B125" i="2"/>
  <c r="AL124" i="2"/>
  <c r="AM124" i="2" s="1"/>
  <c r="AI124" i="2"/>
  <c r="AJ124" i="2" s="1"/>
  <c r="AF124" i="2"/>
  <c r="AG124" i="2" s="1"/>
  <c r="AC124" i="2"/>
  <c r="AD124" i="2" s="1"/>
  <c r="Z124" i="2"/>
  <c r="AA124" i="2" s="1"/>
  <c r="W124" i="2"/>
  <c r="X124" i="2" s="1"/>
  <c r="U124" i="2"/>
  <c r="Q124" i="2"/>
  <c r="R124" i="2" s="1"/>
  <c r="N124" i="2"/>
  <c r="O124" i="2" s="1"/>
  <c r="K124" i="2"/>
  <c r="L124" i="2" s="1"/>
  <c r="J124" i="2"/>
  <c r="I124" i="2"/>
  <c r="H124" i="2"/>
  <c r="G124" i="2"/>
  <c r="F124" i="2"/>
  <c r="E124" i="2"/>
  <c r="AL123" i="2"/>
  <c r="AM123" i="2" s="1"/>
  <c r="AI123" i="2"/>
  <c r="AJ123" i="2" s="1"/>
  <c r="AF123" i="2"/>
  <c r="AG123" i="2" s="1"/>
  <c r="AC123" i="2"/>
  <c r="AD123" i="2" s="1"/>
  <c r="Z123" i="2"/>
  <c r="AA123" i="2" s="1"/>
  <c r="W123" i="2"/>
  <c r="X123" i="2" s="1"/>
  <c r="T123" i="2"/>
  <c r="U123" i="2" s="1"/>
  <c r="Q123" i="2"/>
  <c r="R123" i="2" s="1"/>
  <c r="N123" i="2"/>
  <c r="O123" i="2" s="1"/>
  <c r="K123" i="2"/>
  <c r="L123" i="2" s="1"/>
  <c r="J123" i="2"/>
  <c r="I123" i="2"/>
  <c r="H123" i="2"/>
  <c r="G123" i="2"/>
  <c r="AO123" i="2" s="1"/>
  <c r="F123" i="2"/>
  <c r="E123" i="2"/>
  <c r="B123" i="2"/>
  <c r="AL122" i="2"/>
  <c r="AM122" i="2" s="1"/>
  <c r="AI122" i="2"/>
  <c r="AJ122" i="2" s="1"/>
  <c r="AF122" i="2"/>
  <c r="AG122" i="2" s="1"/>
  <c r="AD122" i="2"/>
  <c r="AC122" i="2"/>
  <c r="Z122" i="2"/>
  <c r="AA122" i="2" s="1"/>
  <c r="W122" i="2"/>
  <c r="X122" i="2" s="1"/>
  <c r="T122" i="2"/>
  <c r="U122" i="2" s="1"/>
  <c r="Q122" i="2"/>
  <c r="R122" i="2" s="1"/>
  <c r="N122" i="2"/>
  <c r="O122" i="2" s="1"/>
  <c r="K122" i="2"/>
  <c r="L122" i="2" s="1"/>
  <c r="J122" i="2"/>
  <c r="I122" i="2"/>
  <c r="H122" i="2"/>
  <c r="G122" i="2"/>
  <c r="AO122" i="2" s="1"/>
  <c r="F122" i="2"/>
  <c r="E122" i="2"/>
  <c r="AL121" i="2"/>
  <c r="AM121" i="2" s="1"/>
  <c r="AJ121" i="2"/>
  <c r="AG121" i="2"/>
  <c r="AC121" i="2"/>
  <c r="AD121" i="2" s="1"/>
  <c r="Z121" i="2"/>
  <c r="AA121" i="2" s="1"/>
  <c r="W121" i="2"/>
  <c r="X121" i="2" s="1"/>
  <c r="T121" i="2"/>
  <c r="U121" i="2" s="1"/>
  <c r="R121" i="2"/>
  <c r="N121" i="2"/>
  <c r="O121" i="2" s="1"/>
  <c r="L121" i="2"/>
  <c r="J121" i="2"/>
  <c r="I121" i="2"/>
  <c r="H121" i="2"/>
  <c r="G121" i="2"/>
  <c r="AO121" i="2" s="1"/>
  <c r="F121" i="2"/>
  <c r="E121" i="2"/>
  <c r="AL120" i="2"/>
  <c r="AM120" i="2" s="1"/>
  <c r="AI120" i="2"/>
  <c r="AJ120" i="2" s="1"/>
  <c r="AF120" i="2"/>
  <c r="AG120" i="2" s="1"/>
  <c r="AC120" i="2"/>
  <c r="AD120" i="2" s="1"/>
  <c r="Z120" i="2"/>
  <c r="AA120" i="2" s="1"/>
  <c r="W120" i="2"/>
  <c r="X120" i="2" s="1"/>
  <c r="T120" i="2"/>
  <c r="U120" i="2" s="1"/>
  <c r="Q120" i="2"/>
  <c r="R120" i="2" s="1"/>
  <c r="N120" i="2"/>
  <c r="O120" i="2" s="1"/>
  <c r="K120" i="2"/>
  <c r="L120" i="2" s="1"/>
  <c r="J120" i="2"/>
  <c r="I120" i="2"/>
  <c r="H120" i="2"/>
  <c r="G120" i="2"/>
  <c r="AO120" i="2" s="1"/>
  <c r="F120" i="2"/>
  <c r="E120" i="2"/>
  <c r="AL119" i="2"/>
  <c r="AM119" i="2" s="1"/>
  <c r="AI119" i="2"/>
  <c r="AJ119" i="2" s="1"/>
  <c r="AG119" i="2"/>
  <c r="AC119" i="2"/>
  <c r="AD119" i="2" s="1"/>
  <c r="Z119" i="2"/>
  <c r="AA119" i="2" s="1"/>
  <c r="X119" i="2"/>
  <c r="U119" i="2"/>
  <c r="R119" i="2"/>
  <c r="N119" i="2"/>
  <c r="O119" i="2" s="1"/>
  <c r="K119" i="2"/>
  <c r="L119" i="2" s="1"/>
  <c r="J119" i="2"/>
  <c r="I119" i="2"/>
  <c r="H119" i="2"/>
  <c r="G119" i="2"/>
  <c r="AO119" i="2" s="1"/>
  <c r="F119" i="2"/>
  <c r="E119" i="2"/>
  <c r="B119" i="2"/>
  <c r="AL118" i="2"/>
  <c r="AM118" i="2" s="1"/>
  <c r="AI118" i="2"/>
  <c r="AJ118" i="2" s="1"/>
  <c r="AF118" i="2"/>
  <c r="AG118" i="2" s="1"/>
  <c r="AC118" i="2"/>
  <c r="AD118" i="2" s="1"/>
  <c r="Z118" i="2"/>
  <c r="AA118" i="2" s="1"/>
  <c r="W118" i="2"/>
  <c r="X118" i="2" s="1"/>
  <c r="T118" i="2"/>
  <c r="U118" i="2" s="1"/>
  <c r="Q118" i="2"/>
  <c r="R118" i="2" s="1"/>
  <c r="N118" i="2"/>
  <c r="O118" i="2" s="1"/>
  <c r="K118" i="2"/>
  <c r="L118" i="2" s="1"/>
  <c r="J118" i="2"/>
  <c r="I118" i="2"/>
  <c r="H118" i="2"/>
  <c r="G118" i="2"/>
  <c r="F118" i="2"/>
  <c r="E118" i="2"/>
  <c r="AL117" i="2"/>
  <c r="AM117" i="2" s="1"/>
  <c r="AI117" i="2"/>
  <c r="AJ117" i="2" s="1"/>
  <c r="AG117" i="2"/>
  <c r="AC117" i="2"/>
  <c r="AD117" i="2" s="1"/>
  <c r="Z117" i="2"/>
  <c r="AA117" i="2" s="1"/>
  <c r="W117" i="2"/>
  <c r="X117" i="2" s="1"/>
  <c r="T117" i="2"/>
  <c r="U117" i="2" s="1"/>
  <c r="R117" i="2"/>
  <c r="N117" i="2"/>
  <c r="O117" i="2" s="1"/>
  <c r="L117" i="2"/>
  <c r="J117" i="2"/>
  <c r="I117" i="2"/>
  <c r="H117" i="2"/>
  <c r="G117" i="2"/>
  <c r="AO117" i="2" s="1"/>
  <c r="F117" i="2"/>
  <c r="E117" i="2"/>
  <c r="B117" i="2"/>
  <c r="AL116" i="2"/>
  <c r="AM116" i="2" s="1"/>
  <c r="AI116" i="2"/>
  <c r="AJ116" i="2" s="1"/>
  <c r="AF116" i="2"/>
  <c r="AG116" i="2" s="1"/>
  <c r="AC116" i="2"/>
  <c r="AD116" i="2" s="1"/>
  <c r="Z116" i="2"/>
  <c r="AA116" i="2" s="1"/>
  <c r="W116" i="2"/>
  <c r="X116" i="2" s="1"/>
  <c r="T116" i="2"/>
  <c r="U116" i="2" s="1"/>
  <c r="Q116" i="2"/>
  <c r="R116" i="2" s="1"/>
  <c r="N116" i="2"/>
  <c r="O116" i="2" s="1"/>
  <c r="K116" i="2"/>
  <c r="L116" i="2" s="1"/>
  <c r="J116" i="2"/>
  <c r="I116" i="2"/>
  <c r="H116" i="2"/>
  <c r="G116" i="2"/>
  <c r="AO116" i="2" s="1"/>
  <c r="F116" i="2"/>
  <c r="E116" i="2"/>
  <c r="AL115" i="2"/>
  <c r="AM115" i="2" s="1"/>
  <c r="AI115" i="2"/>
  <c r="AJ115" i="2" s="1"/>
  <c r="AF115" i="2"/>
  <c r="AG115" i="2" s="1"/>
  <c r="AC115" i="2"/>
  <c r="AD115" i="2" s="1"/>
  <c r="AA115" i="2"/>
  <c r="W115" i="2"/>
  <c r="X115" i="2" s="1"/>
  <c r="T115" i="2"/>
  <c r="U115" i="2" s="1"/>
  <c r="Q115" i="2"/>
  <c r="R115" i="2" s="1"/>
  <c r="N115" i="2"/>
  <c r="O115" i="2" s="1"/>
  <c r="K115" i="2"/>
  <c r="L115" i="2" s="1"/>
  <c r="J115" i="2"/>
  <c r="I115" i="2"/>
  <c r="H115" i="2"/>
  <c r="G115" i="2"/>
  <c r="F115" i="2"/>
  <c r="E115" i="2"/>
  <c r="AL114" i="2"/>
  <c r="AM114" i="2" s="1"/>
  <c r="AI114" i="2"/>
  <c r="AJ114" i="2" s="1"/>
  <c r="AF114" i="2"/>
  <c r="AG114" i="2" s="1"/>
  <c r="AC114" i="2"/>
  <c r="AD114" i="2" s="1"/>
  <c r="Z114" i="2"/>
  <c r="AA114" i="2" s="1"/>
  <c r="W114" i="2"/>
  <c r="X114" i="2" s="1"/>
  <c r="T114" i="2"/>
  <c r="U114" i="2" s="1"/>
  <c r="Q114" i="2"/>
  <c r="R114" i="2" s="1"/>
  <c r="N114" i="2"/>
  <c r="O114" i="2" s="1"/>
  <c r="K114" i="2"/>
  <c r="L114" i="2" s="1"/>
  <c r="J114" i="2"/>
  <c r="I114" i="2"/>
  <c r="H114" i="2"/>
  <c r="G114" i="2"/>
  <c r="AO114" i="2" s="1"/>
  <c r="F114" i="2"/>
  <c r="E114" i="2"/>
  <c r="B114" i="2"/>
  <c r="AL113" i="2"/>
  <c r="AM113" i="2" s="1"/>
  <c r="AI113" i="2"/>
  <c r="AJ113" i="2" s="1"/>
  <c r="AF113" i="2"/>
  <c r="AG113" i="2" s="1"/>
  <c r="AC113" i="2"/>
  <c r="AD113" i="2" s="1"/>
  <c r="Z113" i="2"/>
  <c r="AA113" i="2" s="1"/>
  <c r="W113" i="2"/>
  <c r="X113" i="2" s="1"/>
  <c r="T113" i="2"/>
  <c r="U113" i="2" s="1"/>
  <c r="Q113" i="2"/>
  <c r="R113" i="2" s="1"/>
  <c r="N113" i="2"/>
  <c r="O113" i="2" s="1"/>
  <c r="K113" i="2"/>
  <c r="L113" i="2" s="1"/>
  <c r="J113" i="2"/>
  <c r="I113" i="2"/>
  <c r="H113" i="2"/>
  <c r="G113" i="2"/>
  <c r="AO113" i="2" s="1"/>
  <c r="F113" i="2"/>
  <c r="E113" i="2"/>
  <c r="AL112" i="2"/>
  <c r="AM112" i="2" s="1"/>
  <c r="AI112" i="2"/>
  <c r="AJ112" i="2" s="1"/>
  <c r="AF112" i="2"/>
  <c r="AG112" i="2" s="1"/>
  <c r="AC112" i="2"/>
  <c r="AD112" i="2" s="1"/>
  <c r="Z112" i="2"/>
  <c r="AA112" i="2" s="1"/>
  <c r="W112" i="2"/>
  <c r="X112" i="2" s="1"/>
  <c r="T112" i="2"/>
  <c r="U112" i="2" s="1"/>
  <c r="Q112" i="2"/>
  <c r="R112" i="2" s="1"/>
  <c r="N112" i="2"/>
  <c r="O112" i="2" s="1"/>
  <c r="K112" i="2"/>
  <c r="L112" i="2" s="1"/>
  <c r="J112" i="2"/>
  <c r="I112" i="2"/>
  <c r="H112" i="2"/>
  <c r="G112" i="2"/>
  <c r="AO112" i="2" s="1"/>
  <c r="F112" i="2"/>
  <c r="E112" i="2"/>
  <c r="AL111" i="2"/>
  <c r="AM111" i="2" s="1"/>
  <c r="AI111" i="2"/>
  <c r="AJ111" i="2" s="1"/>
  <c r="AF111" i="2"/>
  <c r="AG111" i="2" s="1"/>
  <c r="AC111" i="2"/>
  <c r="AD111" i="2" s="1"/>
  <c r="Z111" i="2"/>
  <c r="AA111" i="2" s="1"/>
  <c r="W111" i="2"/>
  <c r="X111" i="2" s="1"/>
  <c r="T111" i="2"/>
  <c r="U111" i="2" s="1"/>
  <c r="Q111" i="2"/>
  <c r="R111" i="2" s="1"/>
  <c r="N111" i="2"/>
  <c r="O111" i="2" s="1"/>
  <c r="K111" i="2"/>
  <c r="L111" i="2" s="1"/>
  <c r="J111" i="2"/>
  <c r="I111" i="2"/>
  <c r="H111" i="2"/>
  <c r="G111" i="2"/>
  <c r="AO111" i="2" s="1"/>
  <c r="F111" i="2"/>
  <c r="E111" i="2"/>
  <c r="B111" i="2"/>
  <c r="AL110" i="2"/>
  <c r="AM110" i="2" s="1"/>
  <c r="AI110" i="2"/>
  <c r="AJ110" i="2" s="1"/>
  <c r="AF110" i="2"/>
  <c r="AG110" i="2" s="1"/>
  <c r="AC110" i="2"/>
  <c r="AD110" i="2" s="1"/>
  <c r="Z110" i="2"/>
  <c r="AA110" i="2" s="1"/>
  <c r="W110" i="2"/>
  <c r="X110" i="2" s="1"/>
  <c r="T110" i="2"/>
  <c r="U110" i="2" s="1"/>
  <c r="Q110" i="2"/>
  <c r="R110" i="2" s="1"/>
  <c r="N110" i="2"/>
  <c r="O110" i="2" s="1"/>
  <c r="K110" i="2"/>
  <c r="L110" i="2" s="1"/>
  <c r="J110" i="2"/>
  <c r="I110" i="2"/>
  <c r="H110" i="2"/>
  <c r="G110" i="2"/>
  <c r="F110" i="2"/>
  <c r="E110" i="2"/>
  <c r="AL109" i="2"/>
  <c r="AM109" i="2" s="1"/>
  <c r="AI109" i="2"/>
  <c r="AJ109" i="2" s="1"/>
  <c r="AG109" i="2"/>
  <c r="AD109" i="2"/>
  <c r="Z109" i="2"/>
  <c r="AA109" i="2" s="1"/>
  <c r="X109" i="2"/>
  <c r="T109" i="2"/>
  <c r="U109" i="2" s="1"/>
  <c r="R109" i="2"/>
  <c r="N109" i="2"/>
  <c r="O109" i="2" s="1"/>
  <c r="K109" i="2"/>
  <c r="L109" i="2" s="1"/>
  <c r="J109" i="2"/>
  <c r="I109" i="2"/>
  <c r="H109" i="2"/>
  <c r="G109" i="2"/>
  <c r="AO109" i="2" s="1"/>
  <c r="F109" i="2"/>
  <c r="E109" i="2"/>
  <c r="B109" i="2"/>
  <c r="AL108" i="2"/>
  <c r="AM108" i="2" s="1"/>
  <c r="AI108" i="2"/>
  <c r="AJ108" i="2" s="1"/>
  <c r="AF108" i="2"/>
  <c r="AG108" i="2" s="1"/>
  <c r="AC108" i="2"/>
  <c r="AD108" i="2" s="1"/>
  <c r="Z108" i="2"/>
  <c r="AA108" i="2" s="1"/>
  <c r="W108" i="2"/>
  <c r="X108" i="2" s="1"/>
  <c r="T108" i="2"/>
  <c r="U108" i="2" s="1"/>
  <c r="Q108" i="2"/>
  <c r="R108" i="2" s="1"/>
  <c r="N108" i="2"/>
  <c r="O108" i="2" s="1"/>
  <c r="K108" i="2"/>
  <c r="L108" i="2" s="1"/>
  <c r="J108" i="2"/>
  <c r="I108" i="2"/>
  <c r="H108" i="2"/>
  <c r="G108" i="2"/>
  <c r="F108" i="2"/>
  <c r="E108" i="2"/>
  <c r="AL107" i="2"/>
  <c r="AM107" i="2" s="1"/>
  <c r="AI107" i="2"/>
  <c r="AJ107" i="2" s="1"/>
  <c r="AF107" i="2"/>
  <c r="AG107" i="2" s="1"/>
  <c r="AC107" i="2"/>
  <c r="AD107" i="2" s="1"/>
  <c r="Z107" i="2"/>
  <c r="AA107" i="2" s="1"/>
  <c r="W107" i="2"/>
  <c r="X107" i="2" s="1"/>
  <c r="T107" i="2"/>
  <c r="U107" i="2" s="1"/>
  <c r="Q107" i="2"/>
  <c r="R107" i="2" s="1"/>
  <c r="N107" i="2"/>
  <c r="O107" i="2" s="1"/>
  <c r="K107" i="2"/>
  <c r="L107" i="2" s="1"/>
  <c r="J107" i="2"/>
  <c r="I107" i="2"/>
  <c r="H107" i="2"/>
  <c r="G107" i="2"/>
  <c r="AO107" i="2" s="1"/>
  <c r="F107" i="2"/>
  <c r="E107" i="2"/>
  <c r="AL106" i="2"/>
  <c r="AM106" i="2" s="1"/>
  <c r="AI106" i="2"/>
  <c r="AJ106" i="2" s="1"/>
  <c r="AG106" i="2"/>
  <c r="AC106" i="2"/>
  <c r="AD106" i="2" s="1"/>
  <c r="Z106" i="2"/>
  <c r="AA106" i="2" s="1"/>
  <c r="W106" i="2"/>
  <c r="X106" i="2" s="1"/>
  <c r="T106" i="2"/>
  <c r="U106" i="2" s="1"/>
  <c r="Q106" i="2"/>
  <c r="R106" i="2" s="1"/>
  <c r="N106" i="2"/>
  <c r="O106" i="2" s="1"/>
  <c r="K106" i="2"/>
  <c r="L106" i="2" s="1"/>
  <c r="J106" i="2"/>
  <c r="I106" i="2"/>
  <c r="H106" i="2"/>
  <c r="G106" i="2"/>
  <c r="AO106" i="2" s="1"/>
  <c r="F106" i="2"/>
  <c r="E106" i="2"/>
  <c r="AL105" i="2"/>
  <c r="AM105" i="2" s="1"/>
  <c r="AI105" i="2"/>
  <c r="AJ105" i="2" s="1"/>
  <c r="AF105" i="2"/>
  <c r="AG105" i="2" s="1"/>
  <c r="AC105" i="2"/>
  <c r="AD105" i="2" s="1"/>
  <c r="Z105" i="2"/>
  <c r="AA105" i="2" s="1"/>
  <c r="W105" i="2"/>
  <c r="X105" i="2" s="1"/>
  <c r="T105" i="2"/>
  <c r="U105" i="2" s="1"/>
  <c r="Q105" i="2"/>
  <c r="R105" i="2" s="1"/>
  <c r="N105" i="2"/>
  <c r="O105" i="2" s="1"/>
  <c r="K105" i="2"/>
  <c r="L105" i="2" s="1"/>
  <c r="J105" i="2"/>
  <c r="I105" i="2"/>
  <c r="H105" i="2"/>
  <c r="G105" i="2"/>
  <c r="AO105" i="2" s="1"/>
  <c r="F105" i="2"/>
  <c r="E105" i="2"/>
  <c r="B105" i="2"/>
  <c r="AL104" i="2"/>
  <c r="AM104" i="2" s="1"/>
  <c r="AI104" i="2"/>
  <c r="AJ104" i="2" s="1"/>
  <c r="AF104" i="2"/>
  <c r="AG104" i="2" s="1"/>
  <c r="AC104" i="2"/>
  <c r="AD104" i="2" s="1"/>
  <c r="Z104" i="2"/>
  <c r="AA104" i="2" s="1"/>
  <c r="W104" i="2"/>
  <c r="X104" i="2" s="1"/>
  <c r="T104" i="2"/>
  <c r="U104" i="2" s="1"/>
  <c r="Q104" i="2"/>
  <c r="R104" i="2" s="1"/>
  <c r="N104" i="2"/>
  <c r="O104" i="2" s="1"/>
  <c r="K104" i="2"/>
  <c r="L104" i="2" s="1"/>
  <c r="J104" i="2"/>
  <c r="I104" i="2"/>
  <c r="H104" i="2"/>
  <c r="G104" i="2"/>
  <c r="AO104" i="2" s="1"/>
  <c r="F104" i="2"/>
  <c r="E104" i="2"/>
  <c r="AL103" i="2"/>
  <c r="AM103" i="2" s="1"/>
  <c r="AI103" i="2"/>
  <c r="AJ103" i="2" s="1"/>
  <c r="AF103" i="2"/>
  <c r="AG103" i="2" s="1"/>
  <c r="AC103" i="2"/>
  <c r="AD103" i="2" s="1"/>
  <c r="Z103" i="2"/>
  <c r="AA103" i="2" s="1"/>
  <c r="W103" i="2"/>
  <c r="X103" i="2" s="1"/>
  <c r="U103" i="2"/>
  <c r="Q103" i="2"/>
  <c r="R103" i="2" s="1"/>
  <c r="N103" i="2"/>
  <c r="O103" i="2" s="1"/>
  <c r="K103" i="2"/>
  <c r="L103" i="2" s="1"/>
  <c r="J103" i="2"/>
  <c r="I103" i="2"/>
  <c r="H103" i="2"/>
  <c r="G103" i="2"/>
  <c r="AO103" i="2" s="1"/>
  <c r="F103" i="2"/>
  <c r="E103" i="2"/>
  <c r="AL102" i="2"/>
  <c r="AM102" i="2" s="1"/>
  <c r="AI102" i="2"/>
  <c r="AJ102" i="2" s="1"/>
  <c r="AF102" i="2"/>
  <c r="AG102" i="2" s="1"/>
  <c r="AC102" i="2"/>
  <c r="AD102" i="2" s="1"/>
  <c r="Z102" i="2"/>
  <c r="AA102" i="2" s="1"/>
  <c r="W102" i="2"/>
  <c r="X102" i="2" s="1"/>
  <c r="U102" i="2"/>
  <c r="Q102" i="2"/>
  <c r="R102" i="2" s="1"/>
  <c r="N102" i="2"/>
  <c r="O102" i="2" s="1"/>
  <c r="K102" i="2"/>
  <c r="L102" i="2" s="1"/>
  <c r="J102" i="2"/>
  <c r="I102" i="2"/>
  <c r="H102" i="2"/>
  <c r="G102" i="2"/>
  <c r="AO102" i="2" s="1"/>
  <c r="F102" i="2"/>
  <c r="E102" i="2"/>
  <c r="B102" i="2"/>
  <c r="AL101" i="2"/>
  <c r="AM101" i="2" s="1"/>
  <c r="AI101" i="2"/>
  <c r="AJ101" i="2" s="1"/>
  <c r="AG101" i="2"/>
  <c r="AC101" i="2"/>
  <c r="AD101" i="2" s="1"/>
  <c r="AA101" i="2"/>
  <c r="W101" i="2"/>
  <c r="X101" i="2" s="1"/>
  <c r="U101" i="2"/>
  <c r="R101" i="2"/>
  <c r="N101" i="2"/>
  <c r="O101" i="2" s="1"/>
  <c r="K101" i="2"/>
  <c r="L101" i="2" s="1"/>
  <c r="J101" i="2"/>
  <c r="I101" i="2"/>
  <c r="H101" i="2"/>
  <c r="G101" i="2"/>
  <c r="AO101" i="2" s="1"/>
  <c r="F101" i="2"/>
  <c r="E101" i="2"/>
  <c r="AL100" i="2"/>
  <c r="AM100" i="2" s="1"/>
  <c r="AI100" i="2"/>
  <c r="AJ100" i="2" s="1"/>
  <c r="AF100" i="2"/>
  <c r="AG100" i="2" s="1"/>
  <c r="AC100" i="2"/>
  <c r="AD100" i="2" s="1"/>
  <c r="Z100" i="2"/>
  <c r="AA100" i="2" s="1"/>
  <c r="W100" i="2"/>
  <c r="X100" i="2" s="1"/>
  <c r="T100" i="2"/>
  <c r="U100" i="2" s="1"/>
  <c r="Q100" i="2"/>
  <c r="R100" i="2" s="1"/>
  <c r="N100" i="2"/>
  <c r="O100" i="2" s="1"/>
  <c r="K100" i="2"/>
  <c r="L100" i="2" s="1"/>
  <c r="J100" i="2"/>
  <c r="I100" i="2"/>
  <c r="H100" i="2"/>
  <c r="G100" i="2"/>
  <c r="AO100" i="2" s="1"/>
  <c r="F100" i="2"/>
  <c r="E100" i="2"/>
  <c r="AL99" i="2"/>
  <c r="AM99" i="2" s="1"/>
  <c r="AI99" i="2"/>
  <c r="AJ99" i="2" s="1"/>
  <c r="AG99" i="2"/>
  <c r="AC99" i="2"/>
  <c r="AD99" i="2" s="1"/>
  <c r="Z99" i="2"/>
  <c r="AA99" i="2" s="1"/>
  <c r="W99" i="2"/>
  <c r="X99" i="2" s="1"/>
  <c r="U99" i="2"/>
  <c r="R99" i="2"/>
  <c r="N99" i="2"/>
  <c r="O99" i="2" s="1"/>
  <c r="L99" i="2"/>
  <c r="J99" i="2"/>
  <c r="I99" i="2"/>
  <c r="H99" i="2"/>
  <c r="G99" i="2"/>
  <c r="AO99" i="2" s="1"/>
  <c r="F99" i="2"/>
  <c r="E99" i="2"/>
  <c r="AL98" i="2"/>
  <c r="AM98" i="2" s="1"/>
  <c r="AI98" i="2"/>
  <c r="AJ98" i="2" s="1"/>
  <c r="AF98" i="2"/>
  <c r="AG98" i="2" s="1"/>
  <c r="AC98" i="2"/>
  <c r="AD98" i="2" s="1"/>
  <c r="Z98" i="2"/>
  <c r="AA98" i="2" s="1"/>
  <c r="W98" i="2"/>
  <c r="X98" i="2" s="1"/>
  <c r="T98" i="2"/>
  <c r="U98" i="2" s="1"/>
  <c r="Q98" i="2"/>
  <c r="R98" i="2" s="1"/>
  <c r="N98" i="2"/>
  <c r="O98" i="2" s="1"/>
  <c r="K98" i="2"/>
  <c r="L98" i="2" s="1"/>
  <c r="J98" i="2"/>
  <c r="I98" i="2"/>
  <c r="H98" i="2"/>
  <c r="G98" i="2"/>
  <c r="F98" i="2"/>
  <c r="E98" i="2"/>
  <c r="AL97" i="2"/>
  <c r="AM97" i="2" s="1"/>
  <c r="AI97" i="2"/>
  <c r="AJ97" i="2" s="1"/>
  <c r="AF97" i="2"/>
  <c r="AG97" i="2" s="1"/>
  <c r="AC97" i="2"/>
  <c r="AD97" i="2" s="1"/>
  <c r="Z97" i="2"/>
  <c r="AA97" i="2" s="1"/>
  <c r="W97" i="2"/>
  <c r="X97" i="2" s="1"/>
  <c r="T97" i="2"/>
  <c r="U97" i="2" s="1"/>
  <c r="Q97" i="2"/>
  <c r="R97" i="2" s="1"/>
  <c r="N97" i="2"/>
  <c r="O97" i="2" s="1"/>
  <c r="K97" i="2"/>
  <c r="L97" i="2" s="1"/>
  <c r="J97" i="2"/>
  <c r="I97" i="2"/>
  <c r="H97" i="2"/>
  <c r="G97" i="2"/>
  <c r="F97" i="2"/>
  <c r="E97" i="2"/>
  <c r="AL96" i="2"/>
  <c r="AM96" i="2" s="1"/>
  <c r="AI96" i="2"/>
  <c r="AJ96" i="2" s="1"/>
  <c r="AF96" i="2"/>
  <c r="AG96" i="2" s="1"/>
  <c r="AC96" i="2"/>
  <c r="AD96" i="2" s="1"/>
  <c r="Z96" i="2"/>
  <c r="AA96" i="2" s="1"/>
  <c r="W96" i="2"/>
  <c r="X96" i="2" s="1"/>
  <c r="U96" i="2"/>
  <c r="R96" i="2"/>
  <c r="N96" i="2"/>
  <c r="O96" i="2" s="1"/>
  <c r="K96" i="2"/>
  <c r="L96" i="2" s="1"/>
  <c r="J96" i="2"/>
  <c r="I96" i="2"/>
  <c r="H96" i="2"/>
  <c r="G96" i="2"/>
  <c r="AO96" i="2" s="1"/>
  <c r="F96" i="2"/>
  <c r="E96" i="2"/>
  <c r="AL95" i="2"/>
  <c r="AM95" i="2" s="1"/>
  <c r="AI95" i="2"/>
  <c r="AJ95" i="2" s="1"/>
  <c r="AF95" i="2"/>
  <c r="AG95" i="2" s="1"/>
  <c r="AC95" i="2"/>
  <c r="AD95" i="2" s="1"/>
  <c r="AA95" i="2"/>
  <c r="W95" i="2"/>
  <c r="X95" i="2" s="1"/>
  <c r="T95" i="2"/>
  <c r="U95" i="2" s="1"/>
  <c r="Q95" i="2"/>
  <c r="R95" i="2" s="1"/>
  <c r="N95" i="2"/>
  <c r="O95" i="2" s="1"/>
  <c r="K95" i="2"/>
  <c r="L95" i="2" s="1"/>
  <c r="J95" i="2"/>
  <c r="I95" i="2"/>
  <c r="H95" i="2"/>
  <c r="G95" i="2"/>
  <c r="AO95" i="2" s="1"/>
  <c r="F95" i="2"/>
  <c r="E95" i="2"/>
  <c r="AL94" i="2"/>
  <c r="AM94" i="2" s="1"/>
  <c r="AI94" i="2"/>
  <c r="AJ94" i="2" s="1"/>
  <c r="AF94" i="2"/>
  <c r="AG94" i="2" s="1"/>
  <c r="AC94" i="2"/>
  <c r="AD94" i="2" s="1"/>
  <c r="Z94" i="2"/>
  <c r="AA94" i="2" s="1"/>
  <c r="W94" i="2"/>
  <c r="X94" i="2" s="1"/>
  <c r="T94" i="2"/>
  <c r="U94" i="2" s="1"/>
  <c r="Q94" i="2"/>
  <c r="R94" i="2" s="1"/>
  <c r="N94" i="2"/>
  <c r="O94" i="2" s="1"/>
  <c r="K94" i="2"/>
  <c r="L94" i="2" s="1"/>
  <c r="J94" i="2"/>
  <c r="I94" i="2"/>
  <c r="H94" i="2"/>
  <c r="G94" i="2"/>
  <c r="AO94" i="2" s="1"/>
  <c r="F94" i="2"/>
  <c r="E94" i="2"/>
  <c r="AL93" i="2"/>
  <c r="AM93" i="2" s="1"/>
  <c r="AI93" i="2"/>
  <c r="AJ93" i="2" s="1"/>
  <c r="AF93" i="2"/>
  <c r="AG93" i="2" s="1"/>
  <c r="AC93" i="2"/>
  <c r="AD93" i="2" s="1"/>
  <c r="Z93" i="2"/>
  <c r="AA93" i="2" s="1"/>
  <c r="W93" i="2"/>
  <c r="X93" i="2" s="1"/>
  <c r="T93" i="2"/>
  <c r="U93" i="2" s="1"/>
  <c r="Q93" i="2"/>
  <c r="R93" i="2" s="1"/>
  <c r="N93" i="2"/>
  <c r="O93" i="2" s="1"/>
  <c r="K93" i="2"/>
  <c r="L93" i="2" s="1"/>
  <c r="J93" i="2"/>
  <c r="I93" i="2"/>
  <c r="H93" i="2"/>
  <c r="G93" i="2"/>
  <c r="AO93" i="2" s="1"/>
  <c r="F93" i="2"/>
  <c r="E93" i="2"/>
  <c r="B93" i="2"/>
  <c r="AL92" i="2"/>
  <c r="AM92" i="2" s="1"/>
  <c r="AI92" i="2"/>
  <c r="AJ92" i="2" s="1"/>
  <c r="AF92" i="2"/>
  <c r="AG92" i="2" s="1"/>
  <c r="AC92" i="2"/>
  <c r="AD92" i="2" s="1"/>
  <c r="Z92" i="2"/>
  <c r="AA92" i="2" s="1"/>
  <c r="W92" i="2"/>
  <c r="X92" i="2" s="1"/>
  <c r="T92" i="2"/>
  <c r="U92" i="2" s="1"/>
  <c r="R92" i="2"/>
  <c r="N92" i="2"/>
  <c r="O92" i="2" s="1"/>
  <c r="K92" i="2"/>
  <c r="L92" i="2" s="1"/>
  <c r="J92" i="2"/>
  <c r="I92" i="2"/>
  <c r="H92" i="2"/>
  <c r="G92" i="2"/>
  <c r="F92" i="2"/>
  <c r="E92" i="2"/>
  <c r="AL91" i="2"/>
  <c r="AM91" i="2" s="1"/>
  <c r="AI91" i="2"/>
  <c r="AJ91" i="2" s="1"/>
  <c r="AF91" i="2"/>
  <c r="AG91" i="2" s="1"/>
  <c r="AC91" i="2"/>
  <c r="AD91" i="2" s="1"/>
  <c r="Z91" i="2"/>
  <c r="AA91" i="2" s="1"/>
  <c r="W91" i="2"/>
  <c r="X91" i="2" s="1"/>
  <c r="T91" i="2"/>
  <c r="U91" i="2" s="1"/>
  <c r="Q91" i="2"/>
  <c r="R91" i="2" s="1"/>
  <c r="N91" i="2"/>
  <c r="O91" i="2" s="1"/>
  <c r="K91" i="2"/>
  <c r="L91" i="2" s="1"/>
  <c r="J91" i="2"/>
  <c r="I91" i="2"/>
  <c r="H91" i="2"/>
  <c r="G91" i="2"/>
  <c r="AO91" i="2" s="1"/>
  <c r="F91" i="2"/>
  <c r="E91" i="2"/>
  <c r="B91" i="2"/>
  <c r="AL90" i="2"/>
  <c r="AM90" i="2" s="1"/>
  <c r="AI90" i="2"/>
  <c r="AJ90" i="2" s="1"/>
  <c r="AF90" i="2"/>
  <c r="AG90" i="2" s="1"/>
  <c r="AC90" i="2"/>
  <c r="AD90" i="2" s="1"/>
  <c r="Z90" i="2"/>
  <c r="AA90" i="2" s="1"/>
  <c r="W90" i="2"/>
  <c r="X90" i="2" s="1"/>
  <c r="T90" i="2"/>
  <c r="U90" i="2" s="1"/>
  <c r="Q90" i="2"/>
  <c r="R90" i="2" s="1"/>
  <c r="N90" i="2"/>
  <c r="O90" i="2" s="1"/>
  <c r="K90" i="2"/>
  <c r="L90" i="2" s="1"/>
  <c r="J90" i="2"/>
  <c r="I90" i="2"/>
  <c r="H90" i="2"/>
  <c r="G90" i="2"/>
  <c r="AO90" i="2" s="1"/>
  <c r="F90" i="2"/>
  <c r="E90" i="2"/>
  <c r="B90" i="2"/>
  <c r="AL89" i="2"/>
  <c r="AM89" i="2" s="1"/>
  <c r="AI89" i="2"/>
  <c r="AJ89" i="2" s="1"/>
  <c r="AF89" i="2"/>
  <c r="AG89" i="2" s="1"/>
  <c r="AC89" i="2"/>
  <c r="AD89" i="2" s="1"/>
  <c r="Z89" i="2"/>
  <c r="AA89" i="2" s="1"/>
  <c r="W89" i="2"/>
  <c r="X89" i="2" s="1"/>
  <c r="T89" i="2"/>
  <c r="U89" i="2" s="1"/>
  <c r="Q89" i="2"/>
  <c r="R89" i="2" s="1"/>
  <c r="N89" i="2"/>
  <c r="O89" i="2" s="1"/>
  <c r="K89" i="2"/>
  <c r="L89" i="2" s="1"/>
  <c r="J89" i="2"/>
  <c r="I89" i="2"/>
  <c r="H89" i="2"/>
  <c r="G89" i="2"/>
  <c r="AO89" i="2" s="1"/>
  <c r="F89" i="2"/>
  <c r="E89" i="2"/>
  <c r="AL88" i="2"/>
  <c r="AM88" i="2" s="1"/>
  <c r="AI88" i="2"/>
  <c r="AJ88" i="2" s="1"/>
  <c r="AF88" i="2"/>
  <c r="AG88" i="2" s="1"/>
  <c r="AC88" i="2"/>
  <c r="AD88" i="2" s="1"/>
  <c r="Z88" i="2"/>
  <c r="AA88" i="2" s="1"/>
  <c r="W88" i="2"/>
  <c r="X88" i="2" s="1"/>
  <c r="T88" i="2"/>
  <c r="U88" i="2" s="1"/>
  <c r="Q88" i="2"/>
  <c r="R88" i="2" s="1"/>
  <c r="N88" i="2"/>
  <c r="O88" i="2" s="1"/>
  <c r="K88" i="2"/>
  <c r="L88" i="2" s="1"/>
  <c r="J88" i="2"/>
  <c r="I88" i="2"/>
  <c r="H88" i="2"/>
  <c r="G88" i="2"/>
  <c r="AO88" i="2" s="1"/>
  <c r="F88" i="2"/>
  <c r="E88" i="2"/>
  <c r="AL87" i="2"/>
  <c r="AM87" i="2" s="1"/>
  <c r="AI87" i="2"/>
  <c r="AJ87" i="2" s="1"/>
  <c r="AF87" i="2"/>
  <c r="AG87" i="2" s="1"/>
  <c r="AC87" i="2"/>
  <c r="AD87" i="2" s="1"/>
  <c r="Z87" i="2"/>
  <c r="AA87" i="2" s="1"/>
  <c r="W87" i="2"/>
  <c r="X87" i="2" s="1"/>
  <c r="T87" i="2"/>
  <c r="U87" i="2" s="1"/>
  <c r="Q87" i="2"/>
  <c r="R87" i="2" s="1"/>
  <c r="N87" i="2"/>
  <c r="O87" i="2" s="1"/>
  <c r="K87" i="2"/>
  <c r="L87" i="2" s="1"/>
  <c r="J87" i="2"/>
  <c r="I87" i="2"/>
  <c r="H87" i="2"/>
  <c r="G87" i="2"/>
  <c r="AO87" i="2" s="1"/>
  <c r="F87" i="2"/>
  <c r="E87" i="2"/>
  <c r="AL86" i="2"/>
  <c r="AM86" i="2" s="1"/>
  <c r="AI86" i="2"/>
  <c r="AJ86" i="2" s="1"/>
  <c r="AF86" i="2"/>
  <c r="AG86" i="2" s="1"/>
  <c r="AC86" i="2"/>
  <c r="AD86" i="2" s="1"/>
  <c r="Z86" i="2"/>
  <c r="AA86" i="2" s="1"/>
  <c r="W86" i="2"/>
  <c r="X86" i="2" s="1"/>
  <c r="T86" i="2"/>
  <c r="U86" i="2" s="1"/>
  <c r="Q86" i="2"/>
  <c r="R86" i="2" s="1"/>
  <c r="N86" i="2"/>
  <c r="O86" i="2" s="1"/>
  <c r="K86" i="2"/>
  <c r="L86" i="2" s="1"/>
  <c r="J86" i="2"/>
  <c r="I86" i="2"/>
  <c r="H86" i="2"/>
  <c r="G86" i="2"/>
  <c r="AO86" i="2" s="1"/>
  <c r="F86" i="2"/>
  <c r="E86" i="2"/>
  <c r="AL85" i="2"/>
  <c r="AM85" i="2" s="1"/>
  <c r="AI85" i="2"/>
  <c r="AJ85" i="2" s="1"/>
  <c r="AG85" i="2"/>
  <c r="AC85" i="2"/>
  <c r="AD85" i="2" s="1"/>
  <c r="Z85" i="2"/>
  <c r="AA85" i="2" s="1"/>
  <c r="W85" i="2"/>
  <c r="X85" i="2" s="1"/>
  <c r="T85" i="2"/>
  <c r="U85" i="2" s="1"/>
  <c r="R85" i="2"/>
  <c r="N85" i="2"/>
  <c r="O85" i="2" s="1"/>
  <c r="K85" i="2"/>
  <c r="L85" i="2" s="1"/>
  <c r="J85" i="2"/>
  <c r="I85" i="2"/>
  <c r="H85" i="2"/>
  <c r="G85" i="2"/>
  <c r="AO85" i="2" s="1"/>
  <c r="F85" i="2"/>
  <c r="E85" i="2"/>
  <c r="AL84" i="2"/>
  <c r="AM84" i="2" s="1"/>
  <c r="AI84" i="2"/>
  <c r="AJ84" i="2" s="1"/>
  <c r="AG84" i="2"/>
  <c r="AC84" i="2"/>
  <c r="AD84" i="2" s="1"/>
  <c r="AA84" i="2"/>
  <c r="W84" i="2"/>
  <c r="X84" i="2" s="1"/>
  <c r="T84" i="2"/>
  <c r="U84" i="2" s="1"/>
  <c r="R84" i="2"/>
  <c r="N84" i="2"/>
  <c r="O84" i="2" s="1"/>
  <c r="K84" i="2"/>
  <c r="L84" i="2" s="1"/>
  <c r="J84" i="2"/>
  <c r="I84" i="2"/>
  <c r="H84" i="2"/>
  <c r="G84" i="2"/>
  <c r="AO84" i="2" s="1"/>
  <c r="F84" i="2"/>
  <c r="E84" i="2"/>
  <c r="AL83" i="2"/>
  <c r="AM83" i="2" s="1"/>
  <c r="AI83" i="2"/>
  <c r="AJ83" i="2" s="1"/>
  <c r="AF83" i="2"/>
  <c r="AG83" i="2" s="1"/>
  <c r="AC83" i="2"/>
  <c r="AD83" i="2" s="1"/>
  <c r="Z83" i="2"/>
  <c r="AA83" i="2" s="1"/>
  <c r="W83" i="2"/>
  <c r="X83" i="2" s="1"/>
  <c r="T83" i="2"/>
  <c r="U83" i="2" s="1"/>
  <c r="Q83" i="2"/>
  <c r="R83" i="2" s="1"/>
  <c r="N83" i="2"/>
  <c r="O83" i="2" s="1"/>
  <c r="K83" i="2"/>
  <c r="L83" i="2" s="1"/>
  <c r="J83" i="2"/>
  <c r="I83" i="2"/>
  <c r="H83" i="2"/>
  <c r="G83" i="2"/>
  <c r="AO83" i="2" s="1"/>
  <c r="F83" i="2"/>
  <c r="E83" i="2"/>
  <c r="B83" i="2"/>
  <c r="AL82" i="2"/>
  <c r="AM82" i="2" s="1"/>
  <c r="AI82" i="2"/>
  <c r="AJ82" i="2" s="1"/>
  <c r="AF82" i="2"/>
  <c r="AG82" i="2" s="1"/>
  <c r="AC82" i="2"/>
  <c r="AD82" i="2" s="1"/>
  <c r="Z82" i="2"/>
  <c r="AA82" i="2" s="1"/>
  <c r="W82" i="2"/>
  <c r="X82" i="2" s="1"/>
  <c r="T82" i="2"/>
  <c r="U82" i="2" s="1"/>
  <c r="Q82" i="2"/>
  <c r="R82" i="2" s="1"/>
  <c r="N82" i="2"/>
  <c r="O82" i="2" s="1"/>
  <c r="K82" i="2"/>
  <c r="L82" i="2" s="1"/>
  <c r="J82" i="2"/>
  <c r="I82" i="2"/>
  <c r="H82" i="2"/>
  <c r="G82" i="2"/>
  <c r="AO82" i="2" s="1"/>
  <c r="F82" i="2"/>
  <c r="E82" i="2"/>
  <c r="AL81" i="2"/>
  <c r="AM81" i="2" s="1"/>
  <c r="AI81" i="2"/>
  <c r="AJ81" i="2" s="1"/>
  <c r="AF81" i="2"/>
  <c r="AG81" i="2" s="1"/>
  <c r="AC81" i="2"/>
  <c r="AD81" i="2" s="1"/>
  <c r="Z81" i="2"/>
  <c r="AA81" i="2" s="1"/>
  <c r="W81" i="2"/>
  <c r="X81" i="2" s="1"/>
  <c r="T81" i="2"/>
  <c r="U81" i="2" s="1"/>
  <c r="Q81" i="2"/>
  <c r="R81" i="2" s="1"/>
  <c r="N81" i="2"/>
  <c r="O81" i="2" s="1"/>
  <c r="K81" i="2"/>
  <c r="L81" i="2" s="1"/>
  <c r="J81" i="2"/>
  <c r="I81" i="2"/>
  <c r="H81" i="2"/>
  <c r="G81" i="2"/>
  <c r="AO81" i="2" s="1"/>
  <c r="F81" i="2"/>
  <c r="E81" i="2"/>
  <c r="B81" i="2"/>
  <c r="AL80" i="2"/>
  <c r="AM80" i="2" s="1"/>
  <c r="AI80" i="2"/>
  <c r="AJ80" i="2" s="1"/>
  <c r="AF80" i="2"/>
  <c r="AG80" i="2" s="1"/>
  <c r="AC80" i="2"/>
  <c r="AD80" i="2" s="1"/>
  <c r="Z80" i="2"/>
  <c r="AA80" i="2" s="1"/>
  <c r="W80" i="2"/>
  <c r="X80" i="2" s="1"/>
  <c r="T80" i="2"/>
  <c r="U80" i="2" s="1"/>
  <c r="Q80" i="2"/>
  <c r="R80" i="2" s="1"/>
  <c r="N80" i="2"/>
  <c r="O80" i="2" s="1"/>
  <c r="K80" i="2"/>
  <c r="L80" i="2" s="1"/>
  <c r="J80" i="2"/>
  <c r="I80" i="2"/>
  <c r="H80" i="2"/>
  <c r="G80" i="2"/>
  <c r="AO80" i="2" s="1"/>
  <c r="F80" i="2"/>
  <c r="E80" i="2"/>
  <c r="B80" i="2"/>
  <c r="AL79" i="2"/>
  <c r="AM79" i="2" s="1"/>
  <c r="AJ79" i="2"/>
  <c r="AF79" i="2"/>
  <c r="AG79" i="2" s="1"/>
  <c r="AD79" i="2"/>
  <c r="AA79" i="2"/>
  <c r="W79" i="2"/>
  <c r="X79" i="2" s="1"/>
  <c r="U79" i="2"/>
  <c r="Q79" i="2"/>
  <c r="R79" i="2" s="1"/>
  <c r="N79" i="2"/>
  <c r="O79" i="2" s="1"/>
  <c r="L79" i="2"/>
  <c r="J79" i="2"/>
  <c r="I79" i="2"/>
  <c r="H79" i="2"/>
  <c r="G79" i="2"/>
  <c r="AO79" i="2" s="1"/>
  <c r="F79" i="2"/>
  <c r="E79" i="2"/>
  <c r="B79" i="2"/>
  <c r="AL78" i="2"/>
  <c r="AM78" i="2" s="1"/>
  <c r="AI78" i="2"/>
  <c r="AJ78" i="2" s="1"/>
  <c r="AF78" i="2"/>
  <c r="AG78" i="2" s="1"/>
  <c r="AC78" i="2"/>
  <c r="AD78" i="2" s="1"/>
  <c r="Z78" i="2"/>
  <c r="AA78" i="2" s="1"/>
  <c r="W78" i="2"/>
  <c r="X78" i="2" s="1"/>
  <c r="T78" i="2"/>
  <c r="U78" i="2" s="1"/>
  <c r="Q78" i="2"/>
  <c r="R78" i="2" s="1"/>
  <c r="N78" i="2"/>
  <c r="O78" i="2" s="1"/>
  <c r="K78" i="2"/>
  <c r="L78" i="2" s="1"/>
  <c r="J78" i="2"/>
  <c r="I78" i="2"/>
  <c r="H78" i="2"/>
  <c r="G78" i="2"/>
  <c r="AO78" i="2" s="1"/>
  <c r="F78" i="2"/>
  <c r="E78" i="2"/>
  <c r="B78" i="2"/>
  <c r="AL77" i="2"/>
  <c r="AM77" i="2" s="1"/>
  <c r="AJ77" i="2"/>
  <c r="AG77" i="2"/>
  <c r="AD77" i="2"/>
  <c r="Z77" i="2"/>
  <c r="AA77" i="2" s="1"/>
  <c r="W77" i="2"/>
  <c r="X77" i="2" s="1"/>
  <c r="U77" i="2"/>
  <c r="R77" i="2"/>
  <c r="N77" i="2"/>
  <c r="O77" i="2" s="1"/>
  <c r="L77" i="2"/>
  <c r="J77" i="2"/>
  <c r="I77" i="2"/>
  <c r="H77" i="2"/>
  <c r="G77" i="2"/>
  <c r="F77" i="2"/>
  <c r="E77" i="2"/>
  <c r="AL76" i="2"/>
  <c r="AM76" i="2" s="1"/>
  <c r="AI76" i="2"/>
  <c r="AJ76" i="2" s="1"/>
  <c r="AF76" i="2"/>
  <c r="AG76" i="2" s="1"/>
  <c r="AC76" i="2"/>
  <c r="AD76" i="2" s="1"/>
  <c r="Z76" i="2"/>
  <c r="AA76" i="2" s="1"/>
  <c r="W76" i="2"/>
  <c r="X76" i="2" s="1"/>
  <c r="T76" i="2"/>
  <c r="U76" i="2" s="1"/>
  <c r="Q76" i="2"/>
  <c r="R76" i="2" s="1"/>
  <c r="N76" i="2"/>
  <c r="O76" i="2" s="1"/>
  <c r="K76" i="2"/>
  <c r="L76" i="2" s="1"/>
  <c r="J76" i="2"/>
  <c r="I76" i="2"/>
  <c r="H76" i="2"/>
  <c r="G76" i="2"/>
  <c r="AO76" i="2" s="1"/>
  <c r="F76" i="2"/>
  <c r="E76" i="2"/>
  <c r="AL75" i="2"/>
  <c r="AM75" i="2" s="1"/>
  <c r="AI75" i="2"/>
  <c r="AJ75" i="2" s="1"/>
  <c r="AF75" i="2"/>
  <c r="AG75" i="2" s="1"/>
  <c r="AC75" i="2"/>
  <c r="AD75" i="2" s="1"/>
  <c r="Z75" i="2"/>
  <c r="AA75" i="2" s="1"/>
  <c r="W75" i="2"/>
  <c r="X75" i="2" s="1"/>
  <c r="T75" i="2"/>
  <c r="U75" i="2" s="1"/>
  <c r="Q75" i="2"/>
  <c r="R75" i="2" s="1"/>
  <c r="N75" i="2"/>
  <c r="O75" i="2" s="1"/>
  <c r="K75" i="2"/>
  <c r="L75" i="2" s="1"/>
  <c r="J75" i="2"/>
  <c r="I75" i="2"/>
  <c r="H75" i="2"/>
  <c r="G75" i="2"/>
  <c r="AO75" i="2" s="1"/>
  <c r="F75" i="2"/>
  <c r="E75" i="2"/>
  <c r="AL74" i="2"/>
  <c r="AM74" i="2" s="1"/>
  <c r="AI74" i="2"/>
  <c r="AJ74" i="2" s="1"/>
  <c r="AF74" i="2"/>
  <c r="AG74" i="2" s="1"/>
  <c r="AC74" i="2"/>
  <c r="AD74" i="2" s="1"/>
  <c r="Z74" i="2"/>
  <c r="AA74" i="2" s="1"/>
  <c r="W74" i="2"/>
  <c r="X74" i="2" s="1"/>
  <c r="T74" i="2"/>
  <c r="U74" i="2" s="1"/>
  <c r="Q74" i="2"/>
  <c r="R74" i="2" s="1"/>
  <c r="N74" i="2"/>
  <c r="O74" i="2" s="1"/>
  <c r="K74" i="2"/>
  <c r="L74" i="2" s="1"/>
  <c r="J74" i="2"/>
  <c r="I74" i="2"/>
  <c r="H74" i="2"/>
  <c r="G74" i="2"/>
  <c r="AO74" i="2" s="1"/>
  <c r="F74" i="2"/>
  <c r="E74" i="2"/>
  <c r="AL73" i="2"/>
  <c r="AM73" i="2" s="1"/>
  <c r="AI73" i="2"/>
  <c r="AJ73" i="2" s="1"/>
  <c r="AF73" i="2"/>
  <c r="AG73" i="2" s="1"/>
  <c r="AC73" i="2"/>
  <c r="AD73" i="2" s="1"/>
  <c r="AA73" i="2"/>
  <c r="W73" i="2"/>
  <c r="X73" i="2" s="1"/>
  <c r="U73" i="2"/>
  <c r="R73" i="2"/>
  <c r="N73" i="2"/>
  <c r="O73" i="2" s="1"/>
  <c r="K73" i="2"/>
  <c r="L73" i="2" s="1"/>
  <c r="J73" i="2"/>
  <c r="I73" i="2"/>
  <c r="H73" i="2"/>
  <c r="G73" i="2"/>
  <c r="AO73" i="2" s="1"/>
  <c r="F73" i="2"/>
  <c r="E73" i="2"/>
  <c r="AL72" i="2"/>
  <c r="AM72" i="2" s="1"/>
  <c r="AI72" i="2"/>
  <c r="AJ72" i="2" s="1"/>
  <c r="AF72" i="2"/>
  <c r="AG72" i="2" s="1"/>
  <c r="AC72" i="2"/>
  <c r="AD72" i="2" s="1"/>
  <c r="Z72" i="2"/>
  <c r="AA72" i="2" s="1"/>
  <c r="W72" i="2"/>
  <c r="X72" i="2" s="1"/>
  <c r="T72" i="2"/>
  <c r="U72" i="2" s="1"/>
  <c r="Q72" i="2"/>
  <c r="R72" i="2" s="1"/>
  <c r="N72" i="2"/>
  <c r="O72" i="2" s="1"/>
  <c r="K72" i="2"/>
  <c r="L72" i="2" s="1"/>
  <c r="J72" i="2"/>
  <c r="I72" i="2"/>
  <c r="H72" i="2"/>
  <c r="G72" i="2"/>
  <c r="AO72" i="2" s="1"/>
  <c r="F72" i="2"/>
  <c r="E72" i="2"/>
  <c r="B72" i="2"/>
  <c r="AL71" i="2"/>
  <c r="AM71" i="2" s="1"/>
  <c r="AI71" i="2"/>
  <c r="AJ71" i="2" s="1"/>
  <c r="AG71" i="2"/>
  <c r="AD71" i="2"/>
  <c r="Z71" i="2"/>
  <c r="AA71" i="2" s="1"/>
  <c r="W71" i="2"/>
  <c r="X71" i="2" s="1"/>
  <c r="T71" i="2"/>
  <c r="U71" i="2" s="1"/>
  <c r="Q71" i="2"/>
  <c r="R71" i="2" s="1"/>
  <c r="N71" i="2"/>
  <c r="O71" i="2" s="1"/>
  <c r="K71" i="2"/>
  <c r="L71" i="2" s="1"/>
  <c r="J71" i="2"/>
  <c r="I71" i="2"/>
  <c r="H71" i="2"/>
  <c r="G71" i="2"/>
  <c r="AO71" i="2" s="1"/>
  <c r="F71" i="2"/>
  <c r="E71" i="2"/>
  <c r="AL70" i="2"/>
  <c r="AM70" i="2" s="1"/>
  <c r="AI70" i="2"/>
  <c r="AJ70" i="2" s="1"/>
  <c r="AF70" i="2"/>
  <c r="AG70" i="2" s="1"/>
  <c r="AC70" i="2"/>
  <c r="AD70" i="2" s="1"/>
  <c r="Z70" i="2"/>
  <c r="AA70" i="2" s="1"/>
  <c r="W70" i="2"/>
  <c r="X70" i="2" s="1"/>
  <c r="T70" i="2"/>
  <c r="U70" i="2" s="1"/>
  <c r="Q70" i="2"/>
  <c r="R70" i="2" s="1"/>
  <c r="N70" i="2"/>
  <c r="O70" i="2" s="1"/>
  <c r="K70" i="2"/>
  <c r="L70" i="2" s="1"/>
  <c r="J70" i="2"/>
  <c r="I70" i="2"/>
  <c r="H70" i="2"/>
  <c r="G70" i="2"/>
  <c r="AO70" i="2" s="1"/>
  <c r="F70" i="2"/>
  <c r="E70" i="2"/>
  <c r="AL69" i="2"/>
  <c r="AM69" i="2" s="1"/>
  <c r="AI69" i="2"/>
  <c r="AJ69" i="2" s="1"/>
  <c r="AF69" i="2"/>
  <c r="AG69" i="2" s="1"/>
  <c r="AC69" i="2"/>
  <c r="AD69" i="2" s="1"/>
  <c r="Z69" i="2"/>
  <c r="AA69" i="2" s="1"/>
  <c r="W69" i="2"/>
  <c r="X69" i="2" s="1"/>
  <c r="T69" i="2"/>
  <c r="U69" i="2" s="1"/>
  <c r="Q69" i="2"/>
  <c r="R69" i="2" s="1"/>
  <c r="N69" i="2"/>
  <c r="O69" i="2" s="1"/>
  <c r="K69" i="2"/>
  <c r="L69" i="2" s="1"/>
  <c r="J69" i="2"/>
  <c r="I69" i="2"/>
  <c r="H69" i="2"/>
  <c r="G69" i="2"/>
  <c r="AO69" i="2" s="1"/>
  <c r="F69" i="2"/>
  <c r="E69" i="2"/>
  <c r="AL68" i="2"/>
  <c r="AM68" i="2" s="1"/>
  <c r="AI68" i="2"/>
  <c r="AJ68" i="2" s="1"/>
  <c r="AF68" i="2"/>
  <c r="AG68" i="2" s="1"/>
  <c r="AC68" i="2"/>
  <c r="AD68" i="2" s="1"/>
  <c r="Z68" i="2"/>
  <c r="AA68" i="2" s="1"/>
  <c r="W68" i="2"/>
  <c r="X68" i="2" s="1"/>
  <c r="T68" i="2"/>
  <c r="U68" i="2" s="1"/>
  <c r="Q68" i="2"/>
  <c r="R68" i="2" s="1"/>
  <c r="N68" i="2"/>
  <c r="O68" i="2" s="1"/>
  <c r="K68" i="2"/>
  <c r="L68" i="2" s="1"/>
  <c r="J68" i="2"/>
  <c r="I68" i="2"/>
  <c r="H68" i="2"/>
  <c r="G68" i="2"/>
  <c r="AO68" i="2" s="1"/>
  <c r="F68" i="2"/>
  <c r="E68" i="2"/>
  <c r="AL67" i="2"/>
  <c r="AM67" i="2" s="1"/>
  <c r="AI67" i="2"/>
  <c r="AJ67" i="2" s="1"/>
  <c r="AG67" i="2"/>
  <c r="AC67" i="2"/>
  <c r="AD67" i="2" s="1"/>
  <c r="Z67" i="2"/>
  <c r="AA67" i="2" s="1"/>
  <c r="W67" i="2"/>
  <c r="X67" i="2" s="1"/>
  <c r="T67" i="2"/>
  <c r="U67" i="2" s="1"/>
  <c r="R67" i="2"/>
  <c r="N67" i="2"/>
  <c r="O67" i="2" s="1"/>
  <c r="K67" i="2"/>
  <c r="L67" i="2" s="1"/>
  <c r="J67" i="2"/>
  <c r="I67" i="2"/>
  <c r="H67" i="2"/>
  <c r="G67" i="2"/>
  <c r="AO67" i="2" s="1"/>
  <c r="F67" i="2"/>
  <c r="E67" i="2"/>
  <c r="AL66" i="2"/>
  <c r="AM66" i="2" s="1"/>
  <c r="AI66" i="2"/>
  <c r="AJ66" i="2" s="1"/>
  <c r="AG66" i="2"/>
  <c r="AD66" i="2"/>
  <c r="AA66" i="2"/>
  <c r="W66" i="2"/>
  <c r="X66" i="2" s="1"/>
  <c r="U66" i="2"/>
  <c r="R66" i="2"/>
  <c r="N66" i="2"/>
  <c r="O66" i="2" s="1"/>
  <c r="L66" i="2"/>
  <c r="J66" i="2"/>
  <c r="I66" i="2"/>
  <c r="H66" i="2"/>
  <c r="G66" i="2"/>
  <c r="AO66" i="2" s="1"/>
  <c r="F66" i="2"/>
  <c r="E66" i="2"/>
  <c r="B66" i="2"/>
  <c r="AL65" i="2"/>
  <c r="AM65" i="2" s="1"/>
  <c r="AI65" i="2"/>
  <c r="AJ65" i="2" s="1"/>
  <c r="AF65" i="2"/>
  <c r="AG65" i="2" s="1"/>
  <c r="AC65" i="2"/>
  <c r="AD65" i="2" s="1"/>
  <c r="Z65" i="2"/>
  <c r="AA65" i="2" s="1"/>
  <c r="W65" i="2"/>
  <c r="X65" i="2" s="1"/>
  <c r="T65" i="2"/>
  <c r="U65" i="2" s="1"/>
  <c r="R65" i="2"/>
  <c r="N65" i="2"/>
  <c r="O65" i="2" s="1"/>
  <c r="K65" i="2"/>
  <c r="L65" i="2" s="1"/>
  <c r="J65" i="2"/>
  <c r="I65" i="2"/>
  <c r="H65" i="2"/>
  <c r="G65" i="2"/>
  <c r="AO65" i="2" s="1"/>
  <c r="F65" i="2"/>
  <c r="E65" i="2"/>
  <c r="B65" i="2"/>
  <c r="AL64" i="2"/>
  <c r="AM64" i="2" s="1"/>
  <c r="AI64" i="2"/>
  <c r="AJ64" i="2" s="1"/>
  <c r="AF64" i="2"/>
  <c r="AG64" i="2" s="1"/>
  <c r="AC64" i="2"/>
  <c r="AD64" i="2" s="1"/>
  <c r="Z64" i="2"/>
  <c r="AA64" i="2" s="1"/>
  <c r="W64" i="2"/>
  <c r="X64" i="2" s="1"/>
  <c r="T64" i="2"/>
  <c r="U64" i="2" s="1"/>
  <c r="Q64" i="2"/>
  <c r="R64" i="2" s="1"/>
  <c r="N64" i="2"/>
  <c r="O64" i="2" s="1"/>
  <c r="K64" i="2"/>
  <c r="L64" i="2" s="1"/>
  <c r="J64" i="2"/>
  <c r="I64" i="2"/>
  <c r="H64" i="2"/>
  <c r="G64" i="2"/>
  <c r="F64" i="2"/>
  <c r="E64" i="2"/>
  <c r="AL63" i="2"/>
  <c r="AM63" i="2" s="1"/>
  <c r="AJ63" i="2"/>
  <c r="AG63" i="2"/>
  <c r="AD63" i="2"/>
  <c r="AA63" i="2"/>
  <c r="W63" i="2"/>
  <c r="X63" i="2" s="1"/>
  <c r="U63" i="2"/>
  <c r="Q63" i="2"/>
  <c r="R63" i="2" s="1"/>
  <c r="N63" i="2"/>
  <c r="O63" i="2" s="1"/>
  <c r="L63" i="2"/>
  <c r="J63" i="2"/>
  <c r="I63" i="2"/>
  <c r="H63" i="2"/>
  <c r="G63" i="2"/>
  <c r="F63" i="2"/>
  <c r="E63" i="2"/>
  <c r="AL62" i="2"/>
  <c r="AM62" i="2" s="1"/>
  <c r="AI62" i="2"/>
  <c r="AJ62" i="2" s="1"/>
  <c r="AF62" i="2"/>
  <c r="AG62" i="2" s="1"/>
  <c r="AC62" i="2"/>
  <c r="AD62" i="2" s="1"/>
  <c r="Z62" i="2"/>
  <c r="AA62" i="2" s="1"/>
  <c r="W62" i="2"/>
  <c r="X62" i="2" s="1"/>
  <c r="T62" i="2"/>
  <c r="U62" i="2" s="1"/>
  <c r="Q62" i="2"/>
  <c r="R62" i="2" s="1"/>
  <c r="N62" i="2"/>
  <c r="O62" i="2" s="1"/>
  <c r="K62" i="2"/>
  <c r="L62" i="2" s="1"/>
  <c r="J62" i="2"/>
  <c r="I62" i="2"/>
  <c r="H62" i="2"/>
  <c r="G62" i="2"/>
  <c r="F62" i="2"/>
  <c r="E62" i="2"/>
  <c r="AL61" i="2"/>
  <c r="AM61" i="2" s="1"/>
  <c r="AI61" i="2"/>
  <c r="AJ61" i="2" s="1"/>
  <c r="AF61" i="2"/>
  <c r="AG61" i="2" s="1"/>
  <c r="AC61" i="2"/>
  <c r="AD61" i="2" s="1"/>
  <c r="Z61" i="2"/>
  <c r="AA61" i="2" s="1"/>
  <c r="W61" i="2"/>
  <c r="X61" i="2" s="1"/>
  <c r="U61" i="2"/>
  <c r="Q61" i="2"/>
  <c r="R61" i="2" s="1"/>
  <c r="N61" i="2"/>
  <c r="O61" i="2" s="1"/>
  <c r="L61" i="2"/>
  <c r="J61" i="2"/>
  <c r="I61" i="2"/>
  <c r="H61" i="2"/>
  <c r="G61" i="2"/>
  <c r="AO61" i="2" s="1"/>
  <c r="F61" i="2"/>
  <c r="E61" i="2"/>
  <c r="AL60" i="2"/>
  <c r="AM60" i="2" s="1"/>
  <c r="AI60" i="2"/>
  <c r="AJ60" i="2" s="1"/>
  <c r="AG60" i="2"/>
  <c r="AC60" i="2"/>
  <c r="AD60" i="2" s="1"/>
  <c r="Z60" i="2"/>
  <c r="AA60" i="2" s="1"/>
  <c r="W60" i="2"/>
  <c r="X60" i="2" s="1"/>
  <c r="U60" i="2"/>
  <c r="Q60" i="2"/>
  <c r="R60" i="2" s="1"/>
  <c r="N60" i="2"/>
  <c r="O60" i="2" s="1"/>
  <c r="L60" i="2"/>
  <c r="J60" i="2"/>
  <c r="I60" i="2"/>
  <c r="H60" i="2"/>
  <c r="G60" i="2"/>
  <c r="F60" i="2"/>
  <c r="E60" i="2"/>
  <c r="AL59" i="2"/>
  <c r="AM59" i="2" s="1"/>
  <c r="AI59" i="2"/>
  <c r="AJ59" i="2" s="1"/>
  <c r="AF59" i="2"/>
  <c r="AG59" i="2" s="1"/>
  <c r="AC59" i="2"/>
  <c r="AD59" i="2" s="1"/>
  <c r="Z59" i="2"/>
  <c r="AA59" i="2" s="1"/>
  <c r="W59" i="2"/>
  <c r="X59" i="2" s="1"/>
  <c r="T59" i="2"/>
  <c r="U59" i="2" s="1"/>
  <c r="Q59" i="2"/>
  <c r="R59" i="2" s="1"/>
  <c r="N59" i="2"/>
  <c r="O59" i="2" s="1"/>
  <c r="K59" i="2"/>
  <c r="L59" i="2" s="1"/>
  <c r="J59" i="2"/>
  <c r="I59" i="2"/>
  <c r="H59" i="2"/>
  <c r="G59" i="2"/>
  <c r="AO59" i="2" s="1"/>
  <c r="F59" i="2"/>
  <c r="E59" i="2"/>
  <c r="AL58" i="2"/>
  <c r="AM58" i="2" s="1"/>
  <c r="AI58" i="2"/>
  <c r="AJ58" i="2" s="1"/>
  <c r="AF58" i="2"/>
  <c r="AG58" i="2" s="1"/>
  <c r="AC58" i="2"/>
  <c r="AD58" i="2" s="1"/>
  <c r="Z58" i="2"/>
  <c r="AA58" i="2" s="1"/>
  <c r="W58" i="2"/>
  <c r="X58" i="2" s="1"/>
  <c r="T58" i="2"/>
  <c r="U58" i="2" s="1"/>
  <c r="Q58" i="2"/>
  <c r="R58" i="2" s="1"/>
  <c r="N58" i="2"/>
  <c r="O58" i="2" s="1"/>
  <c r="K58" i="2"/>
  <c r="L58" i="2" s="1"/>
  <c r="J58" i="2"/>
  <c r="I58" i="2"/>
  <c r="H58" i="2"/>
  <c r="G58" i="2"/>
  <c r="AO58" i="2" s="1"/>
  <c r="F58" i="2"/>
  <c r="E58" i="2"/>
  <c r="AL57" i="2"/>
  <c r="AM57" i="2" s="1"/>
  <c r="AI57" i="2"/>
  <c r="AJ57" i="2" s="1"/>
  <c r="AF57" i="2"/>
  <c r="AG57" i="2" s="1"/>
  <c r="AC57" i="2"/>
  <c r="AD57" i="2" s="1"/>
  <c r="Z57" i="2"/>
  <c r="AA57" i="2" s="1"/>
  <c r="W57" i="2"/>
  <c r="X57" i="2" s="1"/>
  <c r="T57" i="2"/>
  <c r="U57" i="2" s="1"/>
  <c r="Q57" i="2"/>
  <c r="R57" i="2" s="1"/>
  <c r="N57" i="2"/>
  <c r="O57" i="2" s="1"/>
  <c r="K57" i="2"/>
  <c r="L57" i="2" s="1"/>
  <c r="J57" i="2"/>
  <c r="I57" i="2"/>
  <c r="H57" i="2"/>
  <c r="G57" i="2"/>
  <c r="AO57" i="2" s="1"/>
  <c r="F57" i="2"/>
  <c r="E57" i="2"/>
  <c r="B57" i="2"/>
  <c r="AL56" i="2"/>
  <c r="AM56" i="2" s="1"/>
  <c r="AI56" i="2"/>
  <c r="AJ56" i="2" s="1"/>
  <c r="AF56" i="2"/>
  <c r="AG56" i="2" s="1"/>
  <c r="AC56" i="2"/>
  <c r="AD56" i="2" s="1"/>
  <c r="Z56" i="2"/>
  <c r="AA56" i="2" s="1"/>
  <c r="W56" i="2"/>
  <c r="X56" i="2" s="1"/>
  <c r="T56" i="2"/>
  <c r="U56" i="2" s="1"/>
  <c r="Q56" i="2"/>
  <c r="R56" i="2" s="1"/>
  <c r="N56" i="2"/>
  <c r="O56" i="2" s="1"/>
  <c r="K56" i="2"/>
  <c r="L56" i="2" s="1"/>
  <c r="J56" i="2"/>
  <c r="I56" i="2"/>
  <c r="H56" i="2"/>
  <c r="G56" i="2"/>
  <c r="F56" i="2"/>
  <c r="E56" i="2"/>
  <c r="AL55" i="2"/>
  <c r="AM55" i="2" s="1"/>
  <c r="AI55" i="2"/>
  <c r="AJ55" i="2" s="1"/>
  <c r="AF55" i="2"/>
  <c r="AG55" i="2" s="1"/>
  <c r="AC55" i="2"/>
  <c r="AD55" i="2" s="1"/>
  <c r="AA55" i="2"/>
  <c r="W55" i="2"/>
  <c r="X55" i="2" s="1"/>
  <c r="T55" i="2"/>
  <c r="U55" i="2" s="1"/>
  <c r="Q55" i="2"/>
  <c r="R55" i="2" s="1"/>
  <c r="N55" i="2"/>
  <c r="O55" i="2" s="1"/>
  <c r="K55" i="2"/>
  <c r="L55" i="2" s="1"/>
  <c r="J55" i="2"/>
  <c r="I55" i="2"/>
  <c r="H55" i="2"/>
  <c r="G55" i="2"/>
  <c r="AO55" i="2" s="1"/>
  <c r="F55" i="2"/>
  <c r="E55" i="2"/>
  <c r="AL54" i="2"/>
  <c r="AM54" i="2" s="1"/>
  <c r="AI54" i="2"/>
  <c r="AJ54" i="2" s="1"/>
  <c r="AF54" i="2"/>
  <c r="AG54" i="2" s="1"/>
  <c r="AC54" i="2"/>
  <c r="AD54" i="2" s="1"/>
  <c r="Z54" i="2"/>
  <c r="AA54" i="2" s="1"/>
  <c r="W54" i="2"/>
  <c r="X54" i="2" s="1"/>
  <c r="T54" i="2"/>
  <c r="U54" i="2" s="1"/>
  <c r="Q54" i="2"/>
  <c r="R54" i="2" s="1"/>
  <c r="N54" i="2"/>
  <c r="O54" i="2" s="1"/>
  <c r="K54" i="2"/>
  <c r="L54" i="2" s="1"/>
  <c r="J54" i="2"/>
  <c r="I54" i="2"/>
  <c r="H54" i="2"/>
  <c r="G54" i="2"/>
  <c r="F54" i="2"/>
  <c r="E54" i="2"/>
  <c r="AL53" i="2"/>
  <c r="AM53" i="2" s="1"/>
  <c r="AI53" i="2"/>
  <c r="AJ53" i="2" s="1"/>
  <c r="AF53" i="2"/>
  <c r="AG53" i="2" s="1"/>
  <c r="AC53" i="2"/>
  <c r="AD53" i="2" s="1"/>
  <c r="Z53" i="2"/>
  <c r="AA53" i="2" s="1"/>
  <c r="W53" i="2"/>
  <c r="X53" i="2" s="1"/>
  <c r="T53" i="2"/>
  <c r="U53" i="2" s="1"/>
  <c r="Q53" i="2"/>
  <c r="R53" i="2" s="1"/>
  <c r="N53" i="2"/>
  <c r="O53" i="2" s="1"/>
  <c r="K53" i="2"/>
  <c r="L53" i="2" s="1"/>
  <c r="J53" i="2"/>
  <c r="I53" i="2"/>
  <c r="H53" i="2"/>
  <c r="G53" i="2"/>
  <c r="F53" i="2"/>
  <c r="E53" i="2"/>
  <c r="AL52" i="2"/>
  <c r="AM52" i="2" s="1"/>
  <c r="AI52" i="2"/>
  <c r="AJ52" i="2" s="1"/>
  <c r="AF52" i="2"/>
  <c r="AG52" i="2" s="1"/>
  <c r="AC52" i="2"/>
  <c r="AD52" i="2" s="1"/>
  <c r="Z52" i="2"/>
  <c r="AA52" i="2" s="1"/>
  <c r="W52" i="2"/>
  <c r="X52" i="2" s="1"/>
  <c r="T52" i="2"/>
  <c r="U52" i="2" s="1"/>
  <c r="Q52" i="2"/>
  <c r="R52" i="2" s="1"/>
  <c r="N52" i="2"/>
  <c r="O52" i="2" s="1"/>
  <c r="K52" i="2"/>
  <c r="L52" i="2" s="1"/>
  <c r="J52" i="2"/>
  <c r="I52" i="2"/>
  <c r="H52" i="2"/>
  <c r="G52" i="2"/>
  <c r="F52" i="2"/>
  <c r="E52" i="2"/>
  <c r="AL51" i="2"/>
  <c r="AM51" i="2" s="1"/>
  <c r="AI51" i="2"/>
  <c r="AJ51" i="2" s="1"/>
  <c r="AG51" i="2"/>
  <c r="AC51" i="2"/>
  <c r="AD51" i="2" s="1"/>
  <c r="Z51" i="2"/>
  <c r="AA51" i="2" s="1"/>
  <c r="W51" i="2"/>
  <c r="X51" i="2" s="1"/>
  <c r="T51" i="2"/>
  <c r="U51" i="2" s="1"/>
  <c r="R51" i="2"/>
  <c r="N51" i="2"/>
  <c r="O51" i="2" s="1"/>
  <c r="K51" i="2"/>
  <c r="L51" i="2" s="1"/>
  <c r="J51" i="2"/>
  <c r="I51" i="2"/>
  <c r="H51" i="2"/>
  <c r="G51" i="2"/>
  <c r="AO51" i="2" s="1"/>
  <c r="F51" i="2"/>
  <c r="E51" i="2"/>
  <c r="AL50" i="2"/>
  <c r="AM50" i="2" s="1"/>
  <c r="AI50" i="2"/>
  <c r="AJ50" i="2" s="1"/>
  <c r="AF50" i="2"/>
  <c r="AG50" i="2" s="1"/>
  <c r="AC50" i="2"/>
  <c r="AD50" i="2" s="1"/>
  <c r="Z50" i="2"/>
  <c r="AA50" i="2" s="1"/>
  <c r="W50" i="2"/>
  <c r="X50" i="2" s="1"/>
  <c r="U50" i="2"/>
  <c r="Q50" i="2"/>
  <c r="R50" i="2" s="1"/>
  <c r="N50" i="2"/>
  <c r="O50" i="2" s="1"/>
  <c r="K50" i="2"/>
  <c r="L50" i="2" s="1"/>
  <c r="J50" i="2"/>
  <c r="I50" i="2"/>
  <c r="H50" i="2"/>
  <c r="G50" i="2"/>
  <c r="AO50" i="2" s="1"/>
  <c r="F50" i="2"/>
  <c r="E50" i="2"/>
  <c r="B50" i="2"/>
  <c r="AL49" i="2"/>
  <c r="AM49" i="2" s="1"/>
  <c r="AI49" i="2"/>
  <c r="AJ49" i="2" s="1"/>
  <c r="AG49" i="2"/>
  <c r="AC49" i="2"/>
  <c r="AD49" i="2" s="1"/>
  <c r="Z49" i="2"/>
  <c r="AA49" i="2" s="1"/>
  <c r="W49" i="2"/>
  <c r="X49" i="2" s="1"/>
  <c r="T49" i="2"/>
  <c r="U49" i="2" s="1"/>
  <c r="R49" i="2"/>
  <c r="N49" i="2"/>
  <c r="O49" i="2" s="1"/>
  <c r="L49" i="2"/>
  <c r="J49" i="2"/>
  <c r="I49" i="2"/>
  <c r="H49" i="2"/>
  <c r="G49" i="2"/>
  <c r="AO49" i="2" s="1"/>
  <c r="F49" i="2"/>
  <c r="E49" i="2"/>
  <c r="AL48" i="2"/>
  <c r="AM48" i="2" s="1"/>
  <c r="AI48" i="2"/>
  <c r="AJ48" i="2" s="1"/>
  <c r="AF48" i="2"/>
  <c r="AG48" i="2" s="1"/>
  <c r="AC48" i="2"/>
  <c r="AD48" i="2" s="1"/>
  <c r="Z48" i="2"/>
  <c r="AA48" i="2" s="1"/>
  <c r="W48" i="2"/>
  <c r="X48" i="2" s="1"/>
  <c r="T48" i="2"/>
  <c r="U48" i="2" s="1"/>
  <c r="Q48" i="2"/>
  <c r="R48" i="2" s="1"/>
  <c r="N48" i="2"/>
  <c r="O48" i="2" s="1"/>
  <c r="K48" i="2"/>
  <c r="L48" i="2" s="1"/>
  <c r="J48" i="2"/>
  <c r="I48" i="2"/>
  <c r="H48" i="2"/>
  <c r="G48" i="2"/>
  <c r="AO48" i="2" s="1"/>
  <c r="F48" i="2"/>
  <c r="E48" i="2"/>
  <c r="AL47" i="2"/>
  <c r="AM47" i="2" s="1"/>
  <c r="AI47" i="2"/>
  <c r="AJ47" i="2" s="1"/>
  <c r="AF47" i="2"/>
  <c r="AG47" i="2" s="1"/>
  <c r="AC47" i="2"/>
  <c r="AD47" i="2" s="1"/>
  <c r="AA47" i="2"/>
  <c r="W47" i="2"/>
  <c r="X47" i="2" s="1"/>
  <c r="U47" i="2"/>
  <c r="Q47" i="2"/>
  <c r="R47" i="2" s="1"/>
  <c r="N47" i="2"/>
  <c r="O47" i="2" s="1"/>
  <c r="K47" i="2"/>
  <c r="L47" i="2" s="1"/>
  <c r="J47" i="2"/>
  <c r="I47" i="2"/>
  <c r="H47" i="2"/>
  <c r="G47" i="2"/>
  <c r="AO47" i="2" s="1"/>
  <c r="F47" i="2"/>
  <c r="E47" i="2"/>
  <c r="AL46" i="2"/>
  <c r="AM46" i="2" s="1"/>
  <c r="AI46" i="2"/>
  <c r="AJ46" i="2" s="1"/>
  <c r="AF46" i="2"/>
  <c r="AG46" i="2" s="1"/>
  <c r="AC46" i="2"/>
  <c r="AD46" i="2" s="1"/>
  <c r="AA46" i="2"/>
  <c r="W46" i="2"/>
  <c r="X46" i="2" s="1"/>
  <c r="U46" i="2"/>
  <c r="Q46" i="2"/>
  <c r="R46" i="2" s="1"/>
  <c r="N46" i="2"/>
  <c r="O46" i="2" s="1"/>
  <c r="L46" i="2"/>
  <c r="J46" i="2"/>
  <c r="I46" i="2"/>
  <c r="H46" i="2"/>
  <c r="G46" i="2"/>
  <c r="AO46" i="2" s="1"/>
  <c r="F46" i="2"/>
  <c r="E46" i="2"/>
  <c r="AL45" i="2"/>
  <c r="AM45" i="2" s="1"/>
  <c r="AI45" i="2"/>
  <c r="AJ45" i="2" s="1"/>
  <c r="AF45" i="2"/>
  <c r="AG45" i="2" s="1"/>
  <c r="AC45" i="2"/>
  <c r="AD45" i="2" s="1"/>
  <c r="Z45" i="2"/>
  <c r="AA45" i="2" s="1"/>
  <c r="W45" i="2"/>
  <c r="X45" i="2" s="1"/>
  <c r="T45" i="2"/>
  <c r="U45" i="2" s="1"/>
  <c r="Q45" i="2"/>
  <c r="R45" i="2" s="1"/>
  <c r="N45" i="2"/>
  <c r="O45" i="2" s="1"/>
  <c r="K45" i="2"/>
  <c r="L45" i="2" s="1"/>
  <c r="J45" i="2"/>
  <c r="I45" i="2"/>
  <c r="H45" i="2"/>
  <c r="G45" i="2"/>
  <c r="F45" i="2"/>
  <c r="E45" i="2"/>
  <c r="AL44" i="2"/>
  <c r="AM44" i="2" s="1"/>
  <c r="AI44" i="2"/>
  <c r="AJ44" i="2" s="1"/>
  <c r="AF44" i="2"/>
  <c r="AG44" i="2" s="1"/>
  <c r="AC44" i="2"/>
  <c r="AD44" i="2" s="1"/>
  <c r="AA44" i="2"/>
  <c r="W44" i="2"/>
  <c r="X44" i="2" s="1"/>
  <c r="U44" i="2"/>
  <c r="Q44" i="2"/>
  <c r="R44" i="2" s="1"/>
  <c r="N44" i="2"/>
  <c r="O44" i="2" s="1"/>
  <c r="L44" i="2"/>
  <c r="J44" i="2"/>
  <c r="I44" i="2"/>
  <c r="H44" i="2"/>
  <c r="G44" i="2"/>
  <c r="AO44" i="2" s="1"/>
  <c r="F44" i="2"/>
  <c r="E44" i="2"/>
  <c r="AL43" i="2"/>
  <c r="AM43" i="2" s="1"/>
  <c r="AI43" i="2"/>
  <c r="AJ43" i="2" s="1"/>
  <c r="AF43" i="2"/>
  <c r="AG43" i="2" s="1"/>
  <c r="AC43" i="2"/>
  <c r="AD43" i="2" s="1"/>
  <c r="Z43" i="2"/>
  <c r="AA43" i="2" s="1"/>
  <c r="W43" i="2"/>
  <c r="X43" i="2" s="1"/>
  <c r="T43" i="2"/>
  <c r="U43" i="2" s="1"/>
  <c r="Q43" i="2"/>
  <c r="R43" i="2" s="1"/>
  <c r="N43" i="2"/>
  <c r="O43" i="2" s="1"/>
  <c r="K43" i="2"/>
  <c r="L43" i="2" s="1"/>
  <c r="J43" i="2"/>
  <c r="I43" i="2"/>
  <c r="H43" i="2"/>
  <c r="G43" i="2"/>
  <c r="AO43" i="2" s="1"/>
  <c r="F43" i="2"/>
  <c r="E43" i="2"/>
  <c r="AM42" i="2"/>
  <c r="AI42" i="2"/>
  <c r="AJ42" i="2" s="1"/>
  <c r="AG42" i="2"/>
  <c r="AC42" i="2"/>
  <c r="AD42" i="2" s="1"/>
  <c r="Z42" i="2"/>
  <c r="AA42" i="2" s="1"/>
  <c r="X42" i="2"/>
  <c r="U42" i="2"/>
  <c r="R42" i="2"/>
  <c r="N42" i="2"/>
  <c r="O42" i="2" s="1"/>
  <c r="L42" i="2"/>
  <c r="J42" i="2"/>
  <c r="I42" i="2"/>
  <c r="H42" i="2"/>
  <c r="G42" i="2"/>
  <c r="AO42" i="2" s="1"/>
  <c r="F42" i="2"/>
  <c r="E42" i="2"/>
  <c r="AM41" i="2"/>
  <c r="AI41" i="2"/>
  <c r="AJ41" i="2" s="1"/>
  <c r="AG41" i="2"/>
  <c r="AC41" i="2"/>
  <c r="AD41" i="2" s="1"/>
  <c r="Z41" i="2"/>
  <c r="AA41" i="2" s="1"/>
  <c r="W41" i="2"/>
  <c r="X41" i="2" s="1"/>
  <c r="U41" i="2"/>
  <c r="R41" i="2"/>
  <c r="N41" i="2"/>
  <c r="O41" i="2" s="1"/>
  <c r="L41" i="2"/>
  <c r="J41" i="2"/>
  <c r="I41" i="2"/>
  <c r="H41" i="2"/>
  <c r="G41" i="2"/>
  <c r="AO41" i="2" s="1"/>
  <c r="F41" i="2"/>
  <c r="E41" i="2"/>
  <c r="AL40" i="2"/>
  <c r="AM40" i="2" s="1"/>
  <c r="AI40" i="2"/>
  <c r="AJ40" i="2" s="1"/>
  <c r="AF40" i="2"/>
  <c r="AG40" i="2" s="1"/>
  <c r="AC40" i="2"/>
  <c r="AD40" i="2" s="1"/>
  <c r="Z40" i="2"/>
  <c r="AA40" i="2" s="1"/>
  <c r="W40" i="2"/>
  <c r="X40" i="2" s="1"/>
  <c r="T40" i="2"/>
  <c r="U40" i="2" s="1"/>
  <c r="Q40" i="2"/>
  <c r="R40" i="2" s="1"/>
  <c r="N40" i="2"/>
  <c r="O40" i="2" s="1"/>
  <c r="L40" i="2"/>
  <c r="J40" i="2"/>
  <c r="I40" i="2"/>
  <c r="H40" i="2"/>
  <c r="G40" i="2"/>
  <c r="AO40" i="2" s="1"/>
  <c r="F40" i="2"/>
  <c r="E40" i="2"/>
  <c r="AL39" i="2"/>
  <c r="AM39" i="2" s="1"/>
  <c r="AI39" i="2"/>
  <c r="AJ39" i="2" s="1"/>
  <c r="AG39" i="2"/>
  <c r="AC39" i="2"/>
  <c r="AD39" i="2" s="1"/>
  <c r="AA39" i="2"/>
  <c r="W39" i="2"/>
  <c r="X39" i="2" s="1"/>
  <c r="U39" i="2"/>
  <c r="R39" i="2"/>
  <c r="N39" i="2"/>
  <c r="O39" i="2" s="1"/>
  <c r="L39" i="2"/>
  <c r="J39" i="2"/>
  <c r="I39" i="2"/>
  <c r="H39" i="2"/>
  <c r="G39" i="2"/>
  <c r="F39" i="2"/>
  <c r="E39" i="2"/>
  <c r="AL38" i="2"/>
  <c r="AM38" i="2" s="1"/>
  <c r="AI38" i="2"/>
  <c r="AJ38" i="2" s="1"/>
  <c r="AF38" i="2"/>
  <c r="AG38" i="2" s="1"/>
  <c r="AC38" i="2"/>
  <c r="AD38" i="2" s="1"/>
  <c r="Z38" i="2"/>
  <c r="AA38" i="2" s="1"/>
  <c r="W38" i="2"/>
  <c r="X38" i="2" s="1"/>
  <c r="U38" i="2"/>
  <c r="R38" i="2"/>
  <c r="N38" i="2"/>
  <c r="O38" i="2" s="1"/>
  <c r="L38" i="2"/>
  <c r="J38" i="2"/>
  <c r="I38" i="2"/>
  <c r="H38" i="2"/>
  <c r="G38" i="2"/>
  <c r="AO38" i="2" s="1"/>
  <c r="F38" i="2"/>
  <c r="E38" i="2"/>
  <c r="AL37" i="2"/>
  <c r="AM37" i="2" s="1"/>
  <c r="AI37" i="2"/>
  <c r="AJ37" i="2" s="1"/>
  <c r="AG37" i="2"/>
  <c r="AC37" i="2"/>
  <c r="AD37" i="2" s="1"/>
  <c r="AA37" i="2"/>
  <c r="W37" i="2"/>
  <c r="X37" i="2" s="1"/>
  <c r="U37" i="2"/>
  <c r="Q37" i="2"/>
  <c r="R37" i="2" s="1"/>
  <c r="N37" i="2"/>
  <c r="O37" i="2" s="1"/>
  <c r="L37" i="2"/>
  <c r="J37" i="2"/>
  <c r="I37" i="2"/>
  <c r="H37" i="2"/>
  <c r="G37" i="2"/>
  <c r="AO37" i="2" s="1"/>
  <c r="F37" i="2"/>
  <c r="E37" i="2"/>
  <c r="AL36" i="2"/>
  <c r="AM36" i="2" s="1"/>
  <c r="AI36" i="2"/>
  <c r="AJ36" i="2" s="1"/>
  <c r="AF36" i="2"/>
  <c r="AG36" i="2" s="1"/>
  <c r="AC36" i="2"/>
  <c r="AD36" i="2" s="1"/>
  <c r="Z36" i="2"/>
  <c r="AA36" i="2" s="1"/>
  <c r="W36" i="2"/>
  <c r="X36" i="2" s="1"/>
  <c r="T36" i="2"/>
  <c r="U36" i="2" s="1"/>
  <c r="R36" i="2"/>
  <c r="N36" i="2"/>
  <c r="O36" i="2" s="1"/>
  <c r="L36" i="2"/>
  <c r="J36" i="2"/>
  <c r="I36" i="2"/>
  <c r="H36" i="2"/>
  <c r="G36" i="2"/>
  <c r="F36" i="2"/>
  <c r="E36" i="2"/>
  <c r="AL35" i="2"/>
  <c r="AM35" i="2" s="1"/>
  <c r="AI35" i="2"/>
  <c r="AJ35" i="2" s="1"/>
  <c r="AF35" i="2"/>
  <c r="AG35" i="2" s="1"/>
  <c r="AC35" i="2"/>
  <c r="AD35" i="2" s="1"/>
  <c r="AA35" i="2"/>
  <c r="W35" i="2"/>
  <c r="X35" i="2" s="1"/>
  <c r="U35" i="2"/>
  <c r="R35" i="2"/>
  <c r="N35" i="2"/>
  <c r="O35" i="2" s="1"/>
  <c r="L35" i="2"/>
  <c r="J35" i="2"/>
  <c r="I35" i="2"/>
  <c r="H35" i="2"/>
  <c r="G35" i="2"/>
  <c r="AO35" i="2" s="1"/>
  <c r="F35" i="2"/>
  <c r="E35" i="2"/>
  <c r="AM34" i="2"/>
  <c r="AJ34" i="2"/>
  <c r="AG34" i="2"/>
  <c r="AC34" i="2"/>
  <c r="AD34" i="2" s="1"/>
  <c r="Z34" i="2"/>
  <c r="AA34" i="2" s="1"/>
  <c r="W34" i="2"/>
  <c r="X34" i="2" s="1"/>
  <c r="U34" i="2"/>
  <c r="R34" i="2"/>
  <c r="N34" i="2"/>
  <c r="O34" i="2" s="1"/>
  <c r="L34" i="2"/>
  <c r="J34" i="2"/>
  <c r="I34" i="2"/>
  <c r="H34" i="2"/>
  <c r="G34" i="2"/>
  <c r="AO34" i="2" s="1"/>
  <c r="F34" i="2"/>
  <c r="E34" i="2"/>
  <c r="AM33" i="2"/>
  <c r="AI33" i="2"/>
  <c r="AJ33" i="2" s="1"/>
  <c r="AG33" i="2"/>
  <c r="AD33" i="2"/>
  <c r="Z33" i="2"/>
  <c r="AA33" i="2" s="1"/>
  <c r="W33" i="2"/>
  <c r="X33" i="2" s="1"/>
  <c r="U33" i="2"/>
  <c r="R33" i="2"/>
  <c r="O33" i="2"/>
  <c r="L33" i="2"/>
  <c r="J33" i="2"/>
  <c r="I33" i="2"/>
  <c r="H33" i="2"/>
  <c r="G33" i="2"/>
  <c r="F33" i="2"/>
  <c r="E33" i="2"/>
  <c r="AL32" i="2"/>
  <c r="AM32" i="2" s="1"/>
  <c r="AI32" i="2"/>
  <c r="AJ32" i="2" s="1"/>
  <c r="AG32" i="2"/>
  <c r="AC32" i="2"/>
  <c r="AD32" i="2" s="1"/>
  <c r="AA32" i="2"/>
  <c r="W32" i="2"/>
  <c r="X32" i="2" s="1"/>
  <c r="U32" i="2"/>
  <c r="R32" i="2"/>
  <c r="N32" i="2"/>
  <c r="O32" i="2" s="1"/>
  <c r="L32" i="2"/>
  <c r="J32" i="2"/>
  <c r="I32" i="2"/>
  <c r="H32" i="2"/>
  <c r="G32" i="2"/>
  <c r="AO32" i="2" s="1"/>
  <c r="F32" i="2"/>
  <c r="E32" i="2"/>
  <c r="AM31" i="2"/>
  <c r="AI31" i="2"/>
  <c r="AJ31" i="2" s="1"/>
  <c r="AF31" i="2"/>
  <c r="AG31" i="2" s="1"/>
  <c r="AD31" i="2"/>
  <c r="Z31" i="2"/>
  <c r="AA31" i="2" s="1"/>
  <c r="W31" i="2"/>
  <c r="X31" i="2" s="1"/>
  <c r="T31" i="2"/>
  <c r="U31" i="2" s="1"/>
  <c r="R31" i="2"/>
  <c r="N31" i="2"/>
  <c r="O31" i="2" s="1"/>
  <c r="L31" i="2"/>
  <c r="J31" i="2"/>
  <c r="I31" i="2"/>
  <c r="H31" i="2"/>
  <c r="G31" i="2"/>
  <c r="AO31" i="2" s="1"/>
  <c r="F31" i="2"/>
  <c r="E31" i="2"/>
  <c r="AL30" i="2"/>
  <c r="AM30" i="2" s="1"/>
  <c r="AI30" i="2"/>
  <c r="AJ30" i="2" s="1"/>
  <c r="AG30" i="2"/>
  <c r="AC30" i="2"/>
  <c r="AD30" i="2" s="1"/>
  <c r="Z30" i="2"/>
  <c r="AA30" i="2" s="1"/>
  <c r="W30" i="2"/>
  <c r="X30" i="2" s="1"/>
  <c r="T30" i="2"/>
  <c r="U30" i="2" s="1"/>
  <c r="R30" i="2"/>
  <c r="N30" i="2"/>
  <c r="O30" i="2" s="1"/>
  <c r="L30" i="2"/>
  <c r="J30" i="2"/>
  <c r="I30" i="2"/>
  <c r="H30" i="2"/>
  <c r="G30" i="2"/>
  <c r="AO30" i="2" s="1"/>
  <c r="F30" i="2"/>
  <c r="E30" i="2"/>
  <c r="AL29" i="2"/>
  <c r="AM29" i="2" s="1"/>
  <c r="AI29" i="2"/>
  <c r="AJ29" i="2" s="1"/>
  <c r="AF29" i="2"/>
  <c r="AG29" i="2" s="1"/>
  <c r="AC29" i="2"/>
  <c r="AD29" i="2" s="1"/>
  <c r="Z29" i="2"/>
  <c r="AA29" i="2" s="1"/>
  <c r="W29" i="2"/>
  <c r="X29" i="2" s="1"/>
  <c r="U29" i="2"/>
  <c r="R29" i="2"/>
  <c r="N29" i="2"/>
  <c r="O29" i="2" s="1"/>
  <c r="L29" i="2"/>
  <c r="J29" i="2"/>
  <c r="I29" i="2"/>
  <c r="H29" i="2"/>
  <c r="G29" i="2"/>
  <c r="AO29" i="2" s="1"/>
  <c r="F29" i="2"/>
  <c r="E29" i="2"/>
  <c r="AM28" i="2"/>
  <c r="AI28" i="2"/>
  <c r="AJ28" i="2" s="1"/>
  <c r="AG28" i="2"/>
  <c r="AC28" i="2"/>
  <c r="AD28" i="2" s="1"/>
  <c r="AA28" i="2"/>
  <c r="W28" i="2"/>
  <c r="X28" i="2" s="1"/>
  <c r="T28" i="2"/>
  <c r="U28" i="2" s="1"/>
  <c r="Q28" i="2"/>
  <c r="R28" i="2" s="1"/>
  <c r="N28" i="2"/>
  <c r="O28" i="2" s="1"/>
  <c r="L28" i="2"/>
  <c r="J28" i="2"/>
  <c r="I28" i="2"/>
  <c r="H28" i="2"/>
  <c r="G28" i="2"/>
  <c r="AO28" i="2" s="1"/>
  <c r="F28" i="2"/>
  <c r="E28" i="2"/>
  <c r="AL27" i="2"/>
  <c r="AM27" i="2" s="1"/>
  <c r="AI27" i="2"/>
  <c r="AJ27" i="2" s="1"/>
  <c r="AG27" i="2"/>
  <c r="AC27" i="2"/>
  <c r="AD27" i="2" s="1"/>
  <c r="Z27" i="2"/>
  <c r="AA27" i="2" s="1"/>
  <c r="W27" i="2"/>
  <c r="X27" i="2" s="1"/>
  <c r="U27" i="2"/>
  <c r="R27" i="2"/>
  <c r="N27" i="2"/>
  <c r="O27" i="2" s="1"/>
  <c r="L27" i="2"/>
  <c r="J27" i="2"/>
  <c r="I27" i="2"/>
  <c r="H27" i="2"/>
  <c r="G27" i="2"/>
  <c r="AO27" i="2" s="1"/>
  <c r="F27" i="2"/>
  <c r="E27" i="2"/>
  <c r="AL26" i="2"/>
  <c r="AM26" i="2" s="1"/>
  <c r="AI26" i="2"/>
  <c r="AJ26" i="2" s="1"/>
  <c r="AG26" i="2"/>
  <c r="AC26" i="2"/>
  <c r="AD26" i="2" s="1"/>
  <c r="AA26" i="2"/>
  <c r="W26" i="2"/>
  <c r="X26" i="2" s="1"/>
  <c r="U26" i="2"/>
  <c r="R26" i="2"/>
  <c r="N26" i="2"/>
  <c r="O26" i="2" s="1"/>
  <c r="L26" i="2"/>
  <c r="J26" i="2"/>
  <c r="I26" i="2"/>
  <c r="H26" i="2"/>
  <c r="G26" i="2"/>
  <c r="F26" i="2"/>
  <c r="E26" i="2"/>
  <c r="AM25" i="2"/>
  <c r="AJ25" i="2"/>
  <c r="AG25" i="2"/>
  <c r="AC25" i="2"/>
  <c r="AD25" i="2" s="1"/>
  <c r="Z25" i="2"/>
  <c r="AA25" i="2" s="1"/>
  <c r="W25" i="2"/>
  <c r="X25" i="2" s="1"/>
  <c r="U25" i="2"/>
  <c r="Q25" i="2"/>
  <c r="R25" i="2" s="1"/>
  <c r="N25" i="2"/>
  <c r="O25" i="2" s="1"/>
  <c r="L25" i="2"/>
  <c r="J25" i="2"/>
  <c r="I25" i="2"/>
  <c r="H25" i="2"/>
  <c r="G25" i="2"/>
  <c r="AO25" i="2" s="1"/>
  <c r="F25" i="2"/>
  <c r="E25" i="2"/>
  <c r="AL24" i="2"/>
  <c r="AM24" i="2" s="1"/>
  <c r="AI24" i="2"/>
  <c r="AJ24" i="2" s="1"/>
  <c r="AF24" i="2"/>
  <c r="AG24" i="2" s="1"/>
  <c r="AD24" i="2"/>
  <c r="Z24" i="2"/>
  <c r="AA24" i="2" s="1"/>
  <c r="X24" i="2"/>
  <c r="U24" i="2"/>
  <c r="Q24" i="2"/>
  <c r="R24" i="2" s="1"/>
  <c r="N24" i="2"/>
  <c r="O24" i="2" s="1"/>
  <c r="L24" i="2"/>
  <c r="J24" i="2"/>
  <c r="I24" i="2"/>
  <c r="H24" i="2"/>
  <c r="G24" i="2"/>
  <c r="AO24" i="2" s="1"/>
  <c r="F24" i="2"/>
  <c r="E24" i="2"/>
  <c r="AM23" i="2"/>
  <c r="AJ23" i="2"/>
  <c r="AG23" i="2"/>
  <c r="AD23" i="2"/>
  <c r="AA23" i="2"/>
  <c r="X23" i="2"/>
  <c r="U23" i="2"/>
  <c r="R23" i="2"/>
  <c r="N23" i="2"/>
  <c r="O23" i="2" s="1"/>
  <c r="D23" i="2" s="1"/>
  <c r="L23" i="2"/>
  <c r="J23" i="2"/>
  <c r="I23" i="2"/>
  <c r="H23" i="2"/>
  <c r="G23" i="2"/>
  <c r="AO23" i="2" s="1"/>
  <c r="F23" i="2"/>
  <c r="E23" i="2"/>
  <c r="AM22" i="2"/>
  <c r="AJ22" i="2"/>
  <c r="AG22" i="2"/>
  <c r="AC22" i="2"/>
  <c r="AD22" i="2" s="1"/>
  <c r="AA22" i="2"/>
  <c r="W22" i="2"/>
  <c r="X22" i="2" s="1"/>
  <c r="U22" i="2"/>
  <c r="R22" i="2"/>
  <c r="N22" i="2"/>
  <c r="O22" i="2" s="1"/>
  <c r="L22" i="2"/>
  <c r="J22" i="2"/>
  <c r="I22" i="2"/>
  <c r="H22" i="2"/>
  <c r="G22" i="2"/>
  <c r="AO22" i="2" s="1"/>
  <c r="F22" i="2"/>
  <c r="E22" i="2"/>
  <c r="AM21" i="2"/>
  <c r="AJ21" i="2"/>
  <c r="AF21" i="2"/>
  <c r="AG21" i="2" s="1"/>
  <c r="AC21" i="2"/>
  <c r="AD21" i="2" s="1"/>
  <c r="Z21" i="2"/>
  <c r="AA21" i="2" s="1"/>
  <c r="W21" i="2"/>
  <c r="X21" i="2" s="1"/>
  <c r="T21" i="2"/>
  <c r="U21" i="2" s="1"/>
  <c r="Q21" i="2"/>
  <c r="R21" i="2" s="1"/>
  <c r="N21" i="2"/>
  <c r="O21" i="2" s="1"/>
  <c r="K21" i="2"/>
  <c r="L21" i="2" s="1"/>
  <c r="J21" i="2"/>
  <c r="I21" i="2"/>
  <c r="H21" i="2"/>
  <c r="G21" i="2"/>
  <c r="F21" i="2"/>
  <c r="E21" i="2"/>
  <c r="AL20" i="2"/>
  <c r="AM20" i="2" s="1"/>
  <c r="AI20" i="2"/>
  <c r="AJ20" i="2" s="1"/>
  <c r="AG20" i="2"/>
  <c r="AD20" i="2"/>
  <c r="Z20" i="2"/>
  <c r="AA20" i="2" s="1"/>
  <c r="W20" i="2"/>
  <c r="X20" i="2" s="1"/>
  <c r="U20" i="2"/>
  <c r="R20" i="2"/>
  <c r="N20" i="2"/>
  <c r="O20" i="2" s="1"/>
  <c r="L20" i="2"/>
  <c r="J20" i="2"/>
  <c r="I20" i="2"/>
  <c r="H20" i="2"/>
  <c r="G20" i="2"/>
  <c r="AO20" i="2" s="1"/>
  <c r="F20" i="2"/>
  <c r="E20" i="2"/>
  <c r="AL19" i="2"/>
  <c r="AM19" i="2" s="1"/>
  <c r="AJ19" i="2"/>
  <c r="AG19" i="2"/>
  <c r="AC19" i="2"/>
  <c r="AD19" i="2" s="1"/>
  <c r="AA19" i="2"/>
  <c r="W19" i="2"/>
  <c r="X19" i="2" s="1"/>
  <c r="U19" i="2"/>
  <c r="R19" i="2"/>
  <c r="N19" i="2"/>
  <c r="O19" i="2" s="1"/>
  <c r="L19" i="2"/>
  <c r="J19" i="2"/>
  <c r="I19" i="2"/>
  <c r="H19" i="2"/>
  <c r="G19" i="2"/>
  <c r="F19" i="2"/>
  <c r="E19" i="2"/>
  <c r="AL18" i="2"/>
  <c r="AM18" i="2" s="1"/>
  <c r="AJ18" i="2"/>
  <c r="AF18" i="2"/>
  <c r="AG18" i="2" s="1"/>
  <c r="AD18" i="2"/>
  <c r="AA18" i="2"/>
  <c r="W18" i="2"/>
  <c r="X18" i="2" s="1"/>
  <c r="U18" i="2"/>
  <c r="R18" i="2"/>
  <c r="O18" i="2"/>
  <c r="L18" i="2"/>
  <c r="J18" i="2"/>
  <c r="I18" i="2"/>
  <c r="H18" i="2"/>
  <c r="G18" i="2"/>
  <c r="F18" i="2"/>
  <c r="E18" i="2"/>
  <c r="AL17" i="2"/>
  <c r="AM17" i="2" s="1"/>
  <c r="AI17" i="2"/>
  <c r="AJ17" i="2" s="1"/>
  <c r="AG17" i="2"/>
  <c r="AD17" i="2"/>
  <c r="Z17" i="2"/>
  <c r="AA17" i="2" s="1"/>
  <c r="W17" i="2"/>
  <c r="X17" i="2" s="1"/>
  <c r="U17" i="2"/>
  <c r="R17" i="2"/>
  <c r="N17" i="2"/>
  <c r="O17" i="2" s="1"/>
  <c r="L17" i="2"/>
  <c r="J17" i="2"/>
  <c r="I17" i="2"/>
  <c r="H17" i="2"/>
  <c r="G17" i="2"/>
  <c r="AO17" i="2" s="1"/>
  <c r="F17" i="2"/>
  <c r="E17" i="2"/>
  <c r="AM16" i="2"/>
  <c r="AI16" i="2"/>
  <c r="AJ16" i="2" s="1"/>
  <c r="AG16" i="2"/>
  <c r="AD16" i="2"/>
  <c r="AA16" i="2"/>
  <c r="X16" i="2"/>
  <c r="U16" i="2"/>
  <c r="R16" i="2"/>
  <c r="O16" i="2"/>
  <c r="L16" i="2"/>
  <c r="J16" i="2"/>
  <c r="I16" i="2"/>
  <c r="H16" i="2"/>
  <c r="G16" i="2"/>
  <c r="AO16" i="2" s="1"/>
  <c r="F16" i="2"/>
  <c r="E16" i="2"/>
  <c r="AM15" i="2"/>
  <c r="AJ15" i="2"/>
  <c r="AG15" i="2"/>
  <c r="AD15" i="2"/>
  <c r="AA15" i="2"/>
  <c r="W15" i="2"/>
  <c r="X15" i="2" s="1"/>
  <c r="U15" i="2"/>
  <c r="R15" i="2"/>
  <c r="O15" i="2"/>
  <c r="L15" i="2"/>
  <c r="J15" i="2"/>
  <c r="I15" i="2"/>
  <c r="H15" i="2"/>
  <c r="G15" i="2"/>
  <c r="AO15" i="2" s="1"/>
  <c r="F15" i="2"/>
  <c r="E15" i="2"/>
  <c r="AM14" i="2"/>
  <c r="AJ14" i="2"/>
  <c r="AG14" i="2"/>
  <c r="AC14" i="2"/>
  <c r="AD14" i="2" s="1"/>
  <c r="AA14" i="2"/>
  <c r="X14" i="2"/>
  <c r="U14" i="2"/>
  <c r="R14" i="2"/>
  <c r="O14" i="2"/>
  <c r="L14" i="2"/>
  <c r="D14" i="2" s="1"/>
  <c r="J14" i="2"/>
  <c r="I14" i="2"/>
  <c r="H14" i="2"/>
  <c r="G14" i="2"/>
  <c r="AO14" i="2" s="1"/>
  <c r="F14" i="2"/>
  <c r="E14" i="2"/>
  <c r="AL13" i="2"/>
  <c r="AM13" i="2" s="1"/>
  <c r="AI13" i="2"/>
  <c r="AJ13" i="2" s="1"/>
  <c r="AG13" i="2"/>
  <c r="AD13" i="2"/>
  <c r="AA13" i="2"/>
  <c r="X13" i="2"/>
  <c r="T13" i="2"/>
  <c r="U13" i="2" s="1"/>
  <c r="R13" i="2"/>
  <c r="N13" i="2"/>
  <c r="O13" i="2" s="1"/>
  <c r="L13" i="2"/>
  <c r="J13" i="2"/>
  <c r="I13" i="2"/>
  <c r="H13" i="2"/>
  <c r="G13" i="2"/>
  <c r="AO13" i="2" s="1"/>
  <c r="F13" i="2"/>
  <c r="E13" i="2"/>
  <c r="AL12" i="2"/>
  <c r="AM12" i="2" s="1"/>
  <c r="AI12" i="2"/>
  <c r="AJ12" i="2" s="1"/>
  <c r="AG12" i="2"/>
  <c r="AD12" i="2"/>
  <c r="AA12" i="2"/>
  <c r="W12" i="2"/>
  <c r="X12" i="2" s="1"/>
  <c r="U12" i="2"/>
  <c r="R12" i="2"/>
  <c r="N12" i="2"/>
  <c r="O12" i="2" s="1"/>
  <c r="L12" i="2"/>
  <c r="J12" i="2"/>
  <c r="I12" i="2"/>
  <c r="H12" i="2"/>
  <c r="G12" i="2"/>
  <c r="AO12" i="2" s="1"/>
  <c r="F12" i="2"/>
  <c r="E12" i="2"/>
  <c r="AL11" i="2"/>
  <c r="AM11" i="2" s="1"/>
  <c r="AJ11" i="2"/>
  <c r="AG11" i="2"/>
  <c r="AD11" i="2"/>
  <c r="AA11" i="2"/>
  <c r="X11" i="2"/>
  <c r="U11" i="2"/>
  <c r="R11" i="2"/>
  <c r="O11" i="2"/>
  <c r="L11" i="2"/>
  <c r="J11" i="2"/>
  <c r="I11" i="2"/>
  <c r="H11" i="2"/>
  <c r="G11" i="2"/>
  <c r="AO11" i="2" s="1"/>
  <c r="F11" i="2"/>
  <c r="E11" i="2"/>
  <c r="AM10" i="2"/>
  <c r="AJ10" i="2"/>
  <c r="AG10" i="2"/>
  <c r="AD10" i="2"/>
  <c r="AA10" i="2"/>
  <c r="W10" i="2"/>
  <c r="X10" i="2" s="1"/>
  <c r="U10" i="2"/>
  <c r="R10" i="2"/>
  <c r="N10" i="2"/>
  <c r="O10" i="2" s="1"/>
  <c r="L10" i="2"/>
  <c r="J10" i="2"/>
  <c r="I10" i="2"/>
  <c r="H10" i="2"/>
  <c r="G10" i="2"/>
  <c r="AO10" i="2" s="1"/>
  <c r="F10" i="2"/>
  <c r="E10" i="2"/>
  <c r="AL9" i="2"/>
  <c r="AM9" i="2" s="1"/>
  <c r="AI9" i="2"/>
  <c r="AJ9" i="2" s="1"/>
  <c r="AG9" i="2"/>
  <c r="AD9" i="2"/>
  <c r="AA9" i="2"/>
  <c r="W9" i="2"/>
  <c r="X9" i="2" s="1"/>
  <c r="U9" i="2"/>
  <c r="R9" i="2"/>
  <c r="O9" i="2"/>
  <c r="L9" i="2"/>
  <c r="J9" i="2"/>
  <c r="I9" i="2"/>
  <c r="H9" i="2"/>
  <c r="G9" i="2"/>
  <c r="AO9" i="2" s="1"/>
  <c r="F9" i="2"/>
  <c r="E9" i="2"/>
  <c r="AL8" i="2"/>
  <c r="AM8" i="2" s="1"/>
  <c r="AJ8" i="2"/>
  <c r="AG8" i="2"/>
  <c r="AD8" i="2"/>
  <c r="AA8" i="2"/>
  <c r="W8" i="2"/>
  <c r="X8" i="2" s="1"/>
  <c r="U8" i="2"/>
  <c r="R8" i="2"/>
  <c r="N8" i="2"/>
  <c r="O8" i="2" s="1"/>
  <c r="L8" i="2"/>
  <c r="J8" i="2"/>
  <c r="I8" i="2"/>
  <c r="H8" i="2"/>
  <c r="G8" i="2"/>
  <c r="AO8" i="2" s="1"/>
  <c r="F8" i="2"/>
  <c r="E8" i="2"/>
  <c r="AL7" i="2"/>
  <c r="AM7" i="2" s="1"/>
  <c r="AI7" i="2"/>
  <c r="AJ7" i="2" s="1"/>
  <c r="AG7" i="2"/>
  <c r="AD7" i="2"/>
  <c r="AA7" i="2"/>
  <c r="X7" i="2"/>
  <c r="U7" i="2"/>
  <c r="R7" i="2"/>
  <c r="O7" i="2"/>
  <c r="L7" i="2"/>
  <c r="J7" i="2"/>
  <c r="I7" i="2"/>
  <c r="H7" i="2"/>
  <c r="G7" i="2"/>
  <c r="AO7" i="2" s="1"/>
  <c r="F7" i="2"/>
  <c r="E7" i="2"/>
  <c r="AL6" i="2"/>
  <c r="AM6" i="2" s="1"/>
  <c r="AJ6" i="2"/>
  <c r="AG6" i="2"/>
  <c r="AD6" i="2"/>
  <c r="AA6" i="2"/>
  <c r="X6" i="2"/>
  <c r="U6" i="2"/>
  <c r="R6" i="2"/>
  <c r="O6" i="2"/>
  <c r="L6" i="2"/>
  <c r="J6" i="2"/>
  <c r="I6" i="2"/>
  <c r="H6" i="2"/>
  <c r="G6" i="2"/>
  <c r="AO6" i="2" s="1"/>
  <c r="F6" i="2"/>
  <c r="E6" i="2"/>
  <c r="AL5" i="2"/>
  <c r="AM5" i="2" s="1"/>
  <c r="AI5" i="2"/>
  <c r="AJ5" i="2" s="1"/>
  <c r="AG5" i="2"/>
  <c r="AD5" i="2"/>
  <c r="AA5" i="2"/>
  <c r="X5" i="2"/>
  <c r="U5" i="2"/>
  <c r="R5" i="2"/>
  <c r="N5" i="2"/>
  <c r="O5" i="2" s="1"/>
  <c r="L5" i="2"/>
  <c r="J5" i="2"/>
  <c r="I5" i="2"/>
  <c r="H5" i="2"/>
  <c r="G5" i="2"/>
  <c r="AO5" i="2" s="1"/>
  <c r="F5" i="2"/>
  <c r="E5" i="2"/>
  <c r="AL4" i="2"/>
  <c r="AM4" i="2" s="1"/>
  <c r="AI4" i="2"/>
  <c r="AJ4" i="2" s="1"/>
  <c r="AG4" i="2"/>
  <c r="AD4" i="2"/>
  <c r="AA4" i="2"/>
  <c r="X4" i="2"/>
  <c r="U4" i="2"/>
  <c r="R4" i="2"/>
  <c r="O4" i="2"/>
  <c r="L4" i="2"/>
  <c r="J4" i="2"/>
  <c r="I4" i="2"/>
  <c r="H4" i="2"/>
  <c r="G4" i="2"/>
  <c r="AO4" i="2" s="1"/>
  <c r="F4" i="2"/>
  <c r="E4" i="2"/>
  <c r="AM3" i="2"/>
  <c r="AJ3" i="2"/>
  <c r="AG3" i="2"/>
  <c r="AD3" i="2"/>
  <c r="AA3" i="2"/>
  <c r="X3" i="2"/>
  <c r="U3" i="2"/>
  <c r="R3" i="2"/>
  <c r="N3" i="2"/>
  <c r="O3" i="2" s="1"/>
  <c r="L3" i="2"/>
  <c r="J3" i="2"/>
  <c r="I3" i="2"/>
  <c r="H3" i="2"/>
  <c r="G3" i="2"/>
  <c r="AO3" i="2" s="1"/>
  <c r="F3" i="2"/>
  <c r="E3" i="2"/>
  <c r="AL2" i="2"/>
  <c r="AI2" i="2"/>
  <c r="AF2" i="2"/>
  <c r="AC2" i="2"/>
  <c r="Z2" i="2"/>
  <c r="W2" i="2"/>
  <c r="T2" i="2"/>
  <c r="Q2" i="2"/>
  <c r="N2" i="2"/>
  <c r="K2" i="2"/>
  <c r="J2" i="2"/>
  <c r="I2" i="2"/>
  <c r="H2" i="2"/>
  <c r="G2" i="2"/>
  <c r="F2" i="2"/>
  <c r="E2" i="2"/>
  <c r="D8" i="2" l="1"/>
  <c r="D41" i="2"/>
  <c r="D99" i="2"/>
  <c r="D142" i="2"/>
  <c r="D143" i="2"/>
  <c r="C143" i="2"/>
  <c r="B143" i="2" s="1"/>
  <c r="D123" i="2"/>
  <c r="D133" i="2"/>
  <c r="D57" i="2"/>
  <c r="D93" i="2"/>
  <c r="D122" i="2"/>
  <c r="D124" i="2"/>
  <c r="D58" i="2"/>
  <c r="D5" i="2"/>
  <c r="D51" i="2"/>
  <c r="D52" i="2"/>
  <c r="D59" i="2"/>
  <c r="D13" i="2"/>
  <c r="D3" i="2"/>
  <c r="D4" i="2"/>
  <c r="D7" i="2"/>
  <c r="D10" i="2"/>
  <c r="D20" i="2"/>
  <c r="D31" i="2"/>
  <c r="D54" i="2"/>
  <c r="D65" i="2"/>
  <c r="D100" i="2"/>
  <c r="D109" i="2"/>
  <c r="D117" i="2"/>
  <c r="D22" i="2"/>
  <c r="D46" i="2"/>
  <c r="D49" i="2"/>
  <c r="D74" i="2"/>
  <c r="D89" i="2"/>
  <c r="D17" i="2"/>
  <c r="D28" i="2"/>
  <c r="D62" i="2"/>
  <c r="D16" i="2"/>
  <c r="D24" i="2"/>
  <c r="D30" i="2"/>
  <c r="D32" i="2"/>
  <c r="D38" i="2"/>
  <c r="D71" i="2"/>
  <c r="D12" i="2"/>
  <c r="D15" i="2"/>
  <c r="D87" i="2"/>
  <c r="D19" i="2"/>
  <c r="D33" i="2"/>
  <c r="D34" i="2"/>
  <c r="D35" i="2"/>
  <c r="D61" i="2"/>
  <c r="D96" i="2"/>
  <c r="D136" i="2"/>
  <c r="D134" i="2"/>
  <c r="D141" i="2"/>
  <c r="D132" i="2"/>
  <c r="D140" i="2"/>
  <c r="D86" i="2"/>
  <c r="D88" i="2"/>
  <c r="D118" i="2"/>
  <c r="D6" i="2"/>
  <c r="D45" i="2"/>
  <c r="D48" i="2"/>
  <c r="D53" i="2"/>
  <c r="D18" i="2"/>
  <c r="D26" i="2"/>
  <c r="AM152" i="2"/>
  <c r="D25" i="2"/>
  <c r="D36" i="2"/>
  <c r="D39" i="2"/>
  <c r="D9" i="2"/>
  <c r="D11" i="2"/>
  <c r="D21" i="2"/>
  <c r="D27" i="2"/>
  <c r="D29" i="2"/>
  <c r="D37" i="2"/>
  <c r="R153" i="2"/>
  <c r="R152" i="2"/>
  <c r="AG152" i="2"/>
  <c r="AO39" i="2"/>
  <c r="D44" i="2"/>
  <c r="AO92" i="2"/>
  <c r="U152" i="2"/>
  <c r="AO21" i="2"/>
  <c r="AO26" i="2"/>
  <c r="AO33" i="2"/>
  <c r="AO36" i="2"/>
  <c r="D47" i="2"/>
  <c r="AO60" i="2"/>
  <c r="D60" i="2"/>
  <c r="D63" i="2"/>
  <c r="D69" i="2"/>
  <c r="D80" i="2"/>
  <c r="D101" i="2"/>
  <c r="AJ152" i="2"/>
  <c r="AO18" i="2"/>
  <c r="AO19" i="2"/>
  <c r="D43" i="2"/>
  <c r="D50" i="2"/>
  <c r="D66" i="2"/>
  <c r="D76" i="2"/>
  <c r="L152" i="2"/>
  <c r="X153" i="2"/>
  <c r="X152" i="2"/>
  <c r="D40" i="2"/>
  <c r="D56" i="2"/>
  <c r="D64" i="2"/>
  <c r="D68" i="2"/>
  <c r="D72" i="2"/>
  <c r="D94" i="2"/>
  <c r="AA152" i="2"/>
  <c r="D42" i="2"/>
  <c r="D55" i="2"/>
  <c r="D75" i="2"/>
  <c r="D85" i="2"/>
  <c r="D103" i="2"/>
  <c r="O152" i="2"/>
  <c r="AD152" i="2"/>
  <c r="D67" i="2"/>
  <c r="D70" i="2"/>
  <c r="D73" i="2"/>
  <c r="D78" i="2"/>
  <c r="D79" i="2"/>
  <c r="D95" i="2"/>
  <c r="AO56" i="2"/>
  <c r="AO62" i="2"/>
  <c r="AO63" i="2"/>
  <c r="AO64" i="2"/>
  <c r="AO77" i="2"/>
  <c r="D84" i="2"/>
  <c r="D90" i="2"/>
  <c r="D106" i="2"/>
  <c r="D107" i="2"/>
  <c r="D108" i="2"/>
  <c r="AO110" i="2"/>
  <c r="D119" i="2"/>
  <c r="AO45" i="2"/>
  <c r="AO52" i="2"/>
  <c r="AO53" i="2"/>
  <c r="AO54" i="2"/>
  <c r="D105" i="2"/>
  <c r="AO108" i="2"/>
  <c r="D111" i="2"/>
  <c r="D120" i="2"/>
  <c r="D81" i="2"/>
  <c r="D82" i="2"/>
  <c r="D83" i="2"/>
  <c r="D97" i="2"/>
  <c r="D91" i="2"/>
  <c r="D92" i="2"/>
  <c r="D102" i="2"/>
  <c r="D114" i="2"/>
  <c r="D77" i="2"/>
  <c r="D98" i="2"/>
  <c r="D104" i="2"/>
  <c r="D110" i="2"/>
  <c r="D115" i="2"/>
  <c r="D121" i="2"/>
  <c r="AO126" i="2"/>
  <c r="AO129" i="2"/>
  <c r="AO131" i="2"/>
  <c r="D139" i="2"/>
  <c r="D125" i="2"/>
  <c r="D128" i="2"/>
  <c r="D131" i="2"/>
  <c r="AO97" i="2"/>
  <c r="AO98" i="2"/>
  <c r="AO118" i="2"/>
  <c r="AO124" i="2"/>
  <c r="AO128" i="2"/>
  <c r="D112" i="2"/>
  <c r="AO115" i="2"/>
  <c r="D127" i="2"/>
  <c r="D130" i="2"/>
  <c r="AO134" i="2"/>
  <c r="D138" i="2"/>
  <c r="AO133" i="2"/>
  <c r="D113" i="2"/>
  <c r="D116" i="2"/>
  <c r="D126" i="2"/>
  <c r="D129" i="2"/>
  <c r="AO132" i="2"/>
  <c r="D135" i="2"/>
  <c r="D137" i="2"/>
  <c r="AO138" i="2"/>
  <c r="C140" i="2" l="1"/>
  <c r="B140" i="2" s="1"/>
  <c r="C139" i="2" l="1"/>
  <c r="C138" i="2" s="1"/>
  <c r="B139" i="2" l="1"/>
  <c r="B138" i="2"/>
  <c r="C134" i="2"/>
  <c r="B134" i="2" l="1"/>
  <c r="C133" i="2"/>
  <c r="B133" i="2" l="1"/>
  <c r="C132" i="2"/>
  <c r="B132" i="2" l="1"/>
  <c r="C131" i="2"/>
  <c r="B131" i="2" l="1"/>
  <c r="C130" i="2"/>
  <c r="B130" i="2" l="1"/>
  <c r="C129" i="2"/>
  <c r="B129" i="2" l="1"/>
  <c r="C128" i="2"/>
  <c r="B128" i="2" l="1"/>
  <c r="C127" i="2"/>
  <c r="B127" i="2" l="1"/>
  <c r="C126" i="2"/>
  <c r="B126" i="2" l="1"/>
  <c r="C124" i="2"/>
  <c r="B124" i="2" l="1"/>
  <c r="C122" i="2"/>
  <c r="B122" i="2" l="1"/>
  <c r="C121" i="2"/>
  <c r="C120" i="2" l="1"/>
  <c r="B121" i="2"/>
  <c r="B120" i="2" l="1"/>
  <c r="C118" i="2"/>
  <c r="B118" i="2" l="1"/>
  <c r="C116" i="2"/>
  <c r="B116" i="2" l="1"/>
  <c r="C115" i="2"/>
  <c r="B115" i="2" l="1"/>
  <c r="C113" i="2"/>
  <c r="B113" i="2" l="1"/>
  <c r="C112" i="2"/>
  <c r="B112" i="2" l="1"/>
  <c r="C110" i="2"/>
  <c r="B110" i="2" l="1"/>
  <c r="C108" i="2"/>
  <c r="B108" i="2" l="1"/>
  <c r="C107" i="2"/>
  <c r="B107" i="2" l="1"/>
  <c r="C106" i="2"/>
  <c r="C104" i="2" l="1"/>
  <c r="B106" i="2"/>
  <c r="B104" i="2" l="1"/>
  <c r="C103" i="2"/>
  <c r="B103" i="2" l="1"/>
  <c r="C101" i="2"/>
  <c r="B101" i="2" l="1"/>
  <c r="C100" i="2"/>
  <c r="B100" i="2" l="1"/>
  <c r="C99" i="2"/>
  <c r="B99" i="2" l="1"/>
  <c r="C98" i="2"/>
  <c r="B98" i="2" l="1"/>
  <c r="C97" i="2"/>
  <c r="B97" i="2" l="1"/>
  <c r="C96" i="2"/>
  <c r="B96" i="2" l="1"/>
  <c r="C95" i="2"/>
  <c r="B95" i="2" l="1"/>
  <c r="C94" i="2"/>
  <c r="B94" i="2" l="1"/>
  <c r="C92" i="2"/>
  <c r="C89" i="2" l="1"/>
  <c r="B92" i="2"/>
  <c r="C88" i="2" l="1"/>
  <c r="B89" i="2"/>
  <c r="C87" i="2" l="1"/>
  <c r="B88" i="2"/>
  <c r="C86" i="2" l="1"/>
  <c r="B87" i="2"/>
  <c r="B86" i="2" l="1"/>
  <c r="C85" i="2"/>
  <c r="B85" i="2" l="1"/>
  <c r="C84" i="2"/>
  <c r="C82" i="2" l="1"/>
  <c r="B84" i="2"/>
  <c r="B82" i="2" l="1"/>
  <c r="C77" i="2"/>
  <c r="B77" i="2" l="1"/>
  <c r="C76" i="2"/>
  <c r="C75" i="2" l="1"/>
  <c r="B76" i="2"/>
  <c r="C74" i="2" l="1"/>
  <c r="B75" i="2"/>
  <c r="B74" i="2" l="1"/>
  <c r="C73" i="2"/>
  <c r="C71" i="2" l="1"/>
  <c r="B73" i="2"/>
  <c r="C70" i="2" l="1"/>
  <c r="B71" i="2"/>
  <c r="C69" i="2" l="1"/>
  <c r="B70" i="2"/>
  <c r="C68" i="2" l="1"/>
  <c r="B69" i="2"/>
  <c r="B68" i="2" l="1"/>
  <c r="C67" i="2"/>
  <c r="B67" i="2" l="1"/>
  <c r="C64" i="2"/>
  <c r="B64" i="2" l="1"/>
  <c r="C63" i="2"/>
  <c r="B63" i="2" l="1"/>
  <c r="C62" i="2"/>
  <c r="C61" i="2" l="1"/>
  <c r="B62" i="2"/>
  <c r="B61" i="2" l="1"/>
  <c r="C60" i="2"/>
  <c r="B60" i="2" l="1"/>
  <c r="C59" i="2"/>
  <c r="B59" i="2" l="1"/>
  <c r="C58" i="2"/>
  <c r="B58" i="2" l="1"/>
  <c r="C56" i="2"/>
  <c r="B56" i="2" l="1"/>
  <c r="C55" i="2"/>
  <c r="B55" i="2" l="1"/>
  <c r="C54" i="2"/>
  <c r="B54" i="2" l="1"/>
  <c r="C53" i="2"/>
  <c r="B53" i="2" l="1"/>
  <c r="C52" i="2"/>
  <c r="B52" i="2" l="1"/>
  <c r="C51" i="2"/>
  <c r="B51" i="2" l="1"/>
  <c r="C49" i="2"/>
  <c r="B49" i="2" l="1"/>
  <c r="C48" i="2"/>
  <c r="B48" i="2" l="1"/>
  <c r="C47" i="2"/>
  <c r="B47" i="2" l="1"/>
  <c r="C46" i="2"/>
  <c r="B46" i="2" l="1"/>
  <c r="C45" i="2"/>
  <c r="C44" i="2" l="1"/>
  <c r="B45" i="2"/>
  <c r="B44" i="2" l="1"/>
  <c r="C43" i="2"/>
  <c r="B43" i="2" l="1"/>
  <c r="C42" i="2"/>
  <c r="C41" i="2" l="1"/>
  <c r="B42" i="2"/>
  <c r="B41" i="2" l="1"/>
  <c r="C40" i="2"/>
  <c r="B40" i="2" l="1"/>
  <c r="C39" i="2"/>
  <c r="B39" i="2" l="1"/>
  <c r="C38" i="2"/>
  <c r="B38" i="2" l="1"/>
  <c r="C37" i="2"/>
  <c r="B37" i="2" l="1"/>
  <c r="C36" i="2"/>
  <c r="B36" i="2" l="1"/>
  <c r="C35" i="2"/>
  <c r="C34" i="2" l="1"/>
  <c r="B35" i="2"/>
  <c r="B34" i="2" l="1"/>
  <c r="C33" i="2"/>
  <c r="B33" i="2" l="1"/>
  <c r="C32" i="2"/>
  <c r="C31" i="2" l="1"/>
  <c r="B32" i="2"/>
  <c r="B31" i="2" l="1"/>
  <c r="C30" i="2"/>
  <c r="B30" i="2" l="1"/>
  <c r="C29" i="2"/>
  <c r="C28" i="2" l="1"/>
  <c r="B29" i="2"/>
  <c r="B28" i="2" l="1"/>
  <c r="C27" i="2"/>
  <c r="B27" i="2" l="1"/>
  <c r="C26" i="2"/>
  <c r="C25" i="2" l="1"/>
  <c r="B26" i="2"/>
  <c r="B25" i="2" l="1"/>
  <c r="C24" i="2"/>
  <c r="B24" i="2" l="1"/>
  <c r="C23" i="2"/>
  <c r="B23" i="2" l="1"/>
  <c r="C22" i="2"/>
  <c r="B22" i="2" l="1"/>
  <c r="C21" i="2"/>
  <c r="B21" i="2" l="1"/>
  <c r="C20" i="2"/>
  <c r="B20" i="2" l="1"/>
  <c r="C19" i="2"/>
  <c r="B19" i="2" l="1"/>
  <c r="C18" i="2"/>
  <c r="B18" i="2" l="1"/>
  <c r="C17" i="2"/>
  <c r="B17" i="2" l="1"/>
  <c r="C16" i="2"/>
  <c r="B16" i="2" l="1"/>
  <c r="C15" i="2"/>
  <c r="B15" i="2" l="1"/>
  <c r="C14" i="2"/>
  <c r="B14" i="2" l="1"/>
  <c r="C13" i="2"/>
  <c r="B13" i="2" l="1"/>
  <c r="C12" i="2"/>
  <c r="B12" i="2" l="1"/>
  <c r="C11" i="2"/>
  <c r="B11" i="2" l="1"/>
  <c r="C10" i="2"/>
  <c r="B10" i="2" l="1"/>
  <c r="C9" i="2"/>
  <c r="B9" i="2" l="1"/>
  <c r="C8" i="2"/>
  <c r="B8" i="2" l="1"/>
  <c r="C7" i="2"/>
  <c r="B7" i="2" l="1"/>
  <c r="C6" i="2"/>
  <c r="B6" i="2" l="1"/>
  <c r="C5" i="2"/>
  <c r="B5" i="2" l="1"/>
  <c r="C4" i="2"/>
  <c r="B4" i="2" l="1"/>
  <c r="C3" i="2"/>
  <c r="B3" i="2" l="1"/>
</calcChain>
</file>

<file path=xl/sharedStrings.xml><?xml version="1.0" encoding="utf-8"?>
<sst xmlns="http://schemas.openxmlformats.org/spreadsheetml/2006/main" count="247" uniqueCount="170">
  <si>
    <t>Izglītības iestādes nosaukums</t>
  </si>
  <si>
    <t>Komandas nosaukums</t>
  </si>
  <si>
    <t>Rīgas Valsts 1. ģimnāzija</t>
  </si>
  <si>
    <t>Mums kļūda</t>
  </si>
  <si>
    <t>Rīgas 13. vidusskola</t>
  </si>
  <si>
    <t>Komandas nosaukums (Rīgas 13. vidusskola)</t>
  </si>
  <si>
    <t>mežmaži</t>
  </si>
  <si>
    <t>Rīgas Valsts 2. ģimnāzija</t>
  </si>
  <si>
    <t>Rozā brilles</t>
  </si>
  <si>
    <t>Rīgas Juglas vidusskola</t>
  </si>
  <si>
    <t>Ķerkers</t>
  </si>
  <si>
    <t>Rīgas 6. vidusskola</t>
  </si>
  <si>
    <t>Komandas nosaukums (Rīgas 6. vidusskola)</t>
  </si>
  <si>
    <t>Rīgas 10. vidusskola</t>
  </si>
  <si>
    <t>r10vs12</t>
  </si>
  <si>
    <t>Rīgas Lietuviešu vidusskola</t>
  </si>
  <si>
    <t>Polaris</t>
  </si>
  <si>
    <t>Ģeometriski regresīvie</t>
  </si>
  <si>
    <t>Rīgas 45. vidusskola</t>
  </si>
  <si>
    <t>PVN</t>
  </si>
  <si>
    <t>I-B SMART</t>
  </si>
  <si>
    <t>Viņķeļi</t>
  </si>
  <si>
    <t>Atjautības avoti</t>
  </si>
  <si>
    <t>Rīgas Valsts vācu ģimnāzija</t>
  </si>
  <si>
    <t>6. elements</t>
  </si>
  <si>
    <t>Rīgas Imantas vidusskola</t>
  </si>
  <si>
    <t>Betons 49</t>
  </si>
  <si>
    <t>Rīgas 84. vidusskola</t>
  </si>
  <si>
    <t>Kurbulētāji</t>
  </si>
  <si>
    <t>Rīgas Zolitūdes ģimnāzija</t>
  </si>
  <si>
    <t>Oho!</t>
  </si>
  <si>
    <t>Cietpauri</t>
  </si>
  <si>
    <t>Domā, loģiski!</t>
  </si>
  <si>
    <t>Bezgalības izaicinātāji</t>
  </si>
  <si>
    <t>Tandēms</t>
  </si>
  <si>
    <t>Š. Dubnova Rīgas Ebreju vidusskola</t>
  </si>
  <si>
    <t>Makabi</t>
  </si>
  <si>
    <t>Rīgas Itas Kozakēvičas Poļu vidusskola</t>
  </si>
  <si>
    <t>IPS</t>
  </si>
  <si>
    <t>Sprīdīši</t>
  </si>
  <si>
    <t>Zvaigznītes</t>
  </si>
  <si>
    <t>IPK</t>
  </si>
  <si>
    <t>Bread Crumbs</t>
  </si>
  <si>
    <t>Gudrības avoti</t>
  </si>
  <si>
    <t>Loģiskie cālīši</t>
  </si>
  <si>
    <t>MAP</t>
  </si>
  <si>
    <t>Rīgas 49. vidusskola</t>
  </si>
  <si>
    <t>Valdemāra gurķi</t>
  </si>
  <si>
    <t>Veiksmīgais bizbizMārītis</t>
  </si>
  <si>
    <t>Alfa, Beta un Epsilon</t>
  </si>
  <si>
    <t>Rīgas Centra humanitārā vidusskola</t>
  </si>
  <si>
    <t>Gandrīz izglītotā armija</t>
  </si>
  <si>
    <t>Rīgas 92. vidusskola</t>
  </si>
  <si>
    <t>El Machos</t>
  </si>
  <si>
    <t>Rīgas Valsts 3. ģimnāzija</t>
  </si>
  <si>
    <t>2+1</t>
  </si>
  <si>
    <t>Rīgas Purvciema vidusskola</t>
  </si>
  <si>
    <t>MAD</t>
  </si>
  <si>
    <t>r10vs11</t>
  </si>
  <si>
    <t>Kambalance</t>
  </si>
  <si>
    <t>Rīgas Arkādijas vidusskola</t>
  </si>
  <si>
    <t>Arkādijas prāti</t>
  </si>
  <si>
    <t>Rīgas 21. vidusskola</t>
  </si>
  <si>
    <t>Gudrinieki</t>
  </si>
  <si>
    <t>Rīgas Angļu ģimnāzija</t>
  </si>
  <si>
    <t>Maskačkas puzlētāji 1</t>
  </si>
  <si>
    <t>Rīgas Valsts klasiskā ģimnāzija</t>
  </si>
  <si>
    <t>Dirižablis</t>
  </si>
  <si>
    <t>Negatīvie IQ</t>
  </si>
  <si>
    <t>Rīgas 80. vidusskola</t>
  </si>
  <si>
    <t>ComTwo</t>
  </si>
  <si>
    <t>Rīgas 33. vidusskola</t>
  </si>
  <si>
    <t>Čebupeli</t>
  </si>
  <si>
    <t>Rīgas Hanzas vidusskola</t>
  </si>
  <si>
    <t>ŠOKOLĀDES PUDIŅŠ</t>
  </si>
  <si>
    <t>Liepājas vieskomanda - Liepājas Jāņa Čakstes vidusskola</t>
  </si>
  <si>
    <t>Čakstēni</t>
  </si>
  <si>
    <t>AAProud</t>
  </si>
  <si>
    <t>Skill issue</t>
  </si>
  <si>
    <t>Prāta gabaliņi</t>
  </si>
  <si>
    <t>LAMBDA</t>
  </si>
  <si>
    <t>Rīgas 72. vidusskola</t>
  </si>
  <si>
    <t>Reversīvie prāti</t>
  </si>
  <si>
    <t>“Rawr”</t>
  </si>
  <si>
    <t xml:space="preserve"> MARIJA KARIJA</t>
  </si>
  <si>
    <t>Rīgas 34. vidusskola</t>
  </si>
  <si>
    <t>"AltGamers"</t>
  </si>
  <si>
    <t>Rīgas 88. vidusskola</t>
  </si>
  <si>
    <t>Rubiks</t>
  </si>
  <si>
    <t>FosGang</t>
  </si>
  <si>
    <t>XYZ</t>
  </si>
  <si>
    <t xml:space="preserve">Vīri melnā </t>
  </si>
  <si>
    <t>Maskačkas puzlētāji 2</t>
  </si>
  <si>
    <t>Rīgas 40. vidusskola</t>
  </si>
  <si>
    <t>Ķirsīši</t>
  </si>
  <si>
    <t>Pužļotāji</t>
  </si>
  <si>
    <t>Shenzhen Ballers</t>
  </si>
  <si>
    <t>Sviestmaizītes</t>
  </si>
  <si>
    <t>Rīgas Dārzciema vidusskola</t>
  </si>
  <si>
    <t>Bārijs un Broms</t>
  </si>
  <si>
    <t>IB winning</t>
  </si>
  <si>
    <t>ĒSA</t>
  </si>
  <si>
    <t>Ziemeļvalstu ģimnāzija</t>
  </si>
  <si>
    <t>Razbainieki</t>
  </si>
  <si>
    <t>“Idea! SMS”</t>
  </si>
  <si>
    <t>Rīgas 25. vidusskola</t>
  </si>
  <si>
    <t>Labs jautājums</t>
  </si>
  <si>
    <t>Rīgas 96. vidusskola</t>
  </si>
  <si>
    <t>Lg96</t>
  </si>
  <si>
    <t>Rødgrød med fløde</t>
  </si>
  <si>
    <t>Rīgas Ostvalda vidusskola</t>
  </si>
  <si>
    <t>Ostvalds 12</t>
  </si>
  <si>
    <t>"Biba un Buba"</t>
  </si>
  <si>
    <t>Prāta negaiss</t>
  </si>
  <si>
    <t>PEDRO</t>
  </si>
  <si>
    <t>SonicX</t>
  </si>
  <si>
    <t>Vīrišķīgs</t>
  </si>
  <si>
    <t>Ostvalds 11</t>
  </si>
  <si>
    <t>VECTOR</t>
  </si>
  <si>
    <t>Spotlight</t>
  </si>
  <si>
    <t>Aukstā plauksta</t>
  </si>
  <si>
    <t>Bleibleids</t>
  </si>
  <si>
    <t>Rīgas Ukraiņu vidusskola</t>
  </si>
  <si>
    <t>Luz de esperanza</t>
  </si>
  <si>
    <t>Rīgas Ķengaraga vidusskola</t>
  </si>
  <si>
    <t>Apaļā galda bruņinieki</t>
  </si>
  <si>
    <t>ComOne</t>
  </si>
  <si>
    <t>Rīgas 89. vidusskola</t>
  </si>
  <si>
    <t>Cīnītāji</t>
  </si>
  <si>
    <t>"Inside out"</t>
  </si>
  <si>
    <t>RIR</t>
  </si>
  <si>
    <t>Rīgas 31. vidusskola</t>
  </si>
  <si>
    <t>Trigonometrija</t>
  </si>
  <si>
    <t>Atbilde:</t>
  </si>
  <si>
    <t>Doms</t>
  </si>
  <si>
    <t>Zaiga</t>
  </si>
  <si>
    <t>Pilsoņi</t>
  </si>
  <si>
    <t>Tobāgo</t>
  </si>
  <si>
    <t>Rokās</t>
  </si>
  <si>
    <t>Salacgrīva</t>
  </si>
  <si>
    <t>Salate</t>
  </si>
  <si>
    <t>Miers</t>
  </si>
  <si>
    <t>Dibināta</t>
  </si>
  <si>
    <t>Nodaba</t>
  </si>
  <si>
    <t>Komanda, ja pēdējais iesniegums</t>
  </si>
  <si>
    <t>Punktu skaits</t>
  </si>
  <si>
    <t>#1 A</t>
  </si>
  <si>
    <t>#1 M</t>
  </si>
  <si>
    <t>#2 A</t>
  </si>
  <si>
    <t>#2 M</t>
  </si>
  <si>
    <t>#3 A</t>
  </si>
  <si>
    <t>#3 M</t>
  </si>
  <si>
    <t>#4 A</t>
  </si>
  <si>
    <t>#4 M</t>
  </si>
  <si>
    <t>#5 A</t>
  </si>
  <si>
    <t>#5 M</t>
  </si>
  <si>
    <t>#6 A</t>
  </si>
  <si>
    <t>#6 M</t>
  </si>
  <si>
    <t>#7 A</t>
  </si>
  <si>
    <t>#7 M</t>
  </si>
  <si>
    <t>#8 A</t>
  </si>
  <si>
    <t>#8 M</t>
  </si>
  <si>
    <t>#9 A</t>
  </si>
  <si>
    <t>#9 M</t>
  </si>
  <si>
    <t>#10 A</t>
  </si>
  <si>
    <t>#10 M</t>
  </si>
  <si>
    <t>Komanda ir sarakstā?</t>
  </si>
  <si>
    <t>3 norādes paprasīja</t>
  </si>
  <si>
    <t>17 komandas</t>
  </si>
  <si>
    <t>Loģikas spēles "Riga Puzzle Day", 07.11.2024., rezultāti sadalījumā pa vietām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</si>
</sst>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yy\ h:mm:ss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FF0000"/>
      <name val="Calibri"/>
    </font>
    <font>
      <sz val="9"/>
      <color theme="1"/>
      <name val="Calibri"/>
      <scheme val="minor"/>
    </font>
    <font>
      <sz val="11"/>
      <color rgb="FFD9D9D9"/>
      <name val="Calibri"/>
      <scheme val="minor"/>
    </font>
    <font>
      <sz val="11"/>
      <color rgb="FFCCCCCC"/>
      <name val="Calibri"/>
      <scheme val="minor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6D9EEB"/>
        <bgColor rgb="FF6D9EEB"/>
      </patternFill>
    </fill>
    <fill>
      <patternFill patternType="solid">
        <fgColor rgb="FFDEEAF6"/>
        <bgColor rgb="FFDEEAF6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0" borderId="0" xfId="0" applyFont="1"/>
    <xf numFmtId="0" fontId="6" fillId="0" borderId="0" xfId="0" applyFont="1"/>
    <xf numFmtId="0" fontId="4" fillId="0" borderId="0" xfId="0" applyFont="1" applyAlignment="1"/>
    <xf numFmtId="0" fontId="4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5" borderId="0" xfId="0" applyFont="1" applyFill="1" applyAlignment="1"/>
    <xf numFmtId="165" fontId="4" fillId="0" borderId="0" xfId="0" applyNumberFormat="1" applyFont="1"/>
    <xf numFmtId="0" fontId="9" fillId="0" borderId="0" xfId="0" applyFont="1"/>
    <xf numFmtId="0" fontId="4" fillId="0" borderId="0" xfId="0" applyFont="1"/>
    <xf numFmtId="0" fontId="10" fillId="4" borderId="0" xfId="0" applyFont="1" applyFill="1" applyAlignment="1"/>
    <xf numFmtId="0" fontId="10" fillId="4" borderId="0" xfId="0" applyFont="1" applyFill="1"/>
    <xf numFmtId="0" fontId="11" fillId="2" borderId="0" xfId="0" applyFont="1" applyFill="1" applyAlignment="1"/>
    <xf numFmtId="0" fontId="10" fillId="2" borderId="0" xfId="0" applyFont="1" applyFill="1"/>
    <xf numFmtId="0" fontId="10" fillId="2" borderId="0" xfId="0" applyFont="1" applyFill="1" applyAlignment="1"/>
    <xf numFmtId="0" fontId="10" fillId="4" borderId="1" xfId="0" applyFont="1" applyFill="1" applyBorder="1" applyAlignment="1"/>
    <xf numFmtId="0" fontId="10" fillId="4" borderId="1" xfId="0" applyFont="1" applyFill="1" applyBorder="1"/>
    <xf numFmtId="0" fontId="10" fillId="2" borderId="0" xfId="0" applyFont="1" applyFill="1" applyAlignment="1">
      <alignment horizontal="left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6"/>
  <sheetViews>
    <sheetView tabSelected="1" workbookViewId="0">
      <pane ySplit="3" topLeftCell="A4" activePane="bottomLeft" state="frozen"/>
      <selection pane="bottomLeft" activeCell="I27" sqref="I27"/>
    </sheetView>
  </sheetViews>
  <sheetFormatPr defaultColWidth="14.42578125" defaultRowHeight="15" customHeight="1" x14ac:dyDescent="0.25"/>
  <cols>
    <col min="1" max="1" width="5.5703125" customWidth="1"/>
    <col min="2" max="2" width="35.85546875" customWidth="1"/>
    <col min="3" max="3" width="58.85546875" customWidth="1"/>
    <col min="4" max="9" width="8.7109375" customWidth="1"/>
  </cols>
  <sheetData>
    <row r="1" spans="1:3" x14ac:dyDescent="0.25">
      <c r="A1" s="23" t="s">
        <v>169</v>
      </c>
      <c r="B1" s="24"/>
      <c r="C1" s="24"/>
    </row>
    <row r="2" spans="1:3" x14ac:dyDescent="0.25">
      <c r="C2" s="1"/>
    </row>
    <row r="3" spans="1:3" ht="28.5" customHeight="1" x14ac:dyDescent="0.25">
      <c r="A3" s="3"/>
      <c r="B3" s="4" t="s">
        <v>0</v>
      </c>
      <c r="C3" s="4" t="s">
        <v>1</v>
      </c>
    </row>
    <row r="4" spans="1:3" x14ac:dyDescent="0.25">
      <c r="A4" s="15">
        <v>1</v>
      </c>
      <c r="B4" s="16" t="s">
        <v>2</v>
      </c>
      <c r="C4" s="16" t="s">
        <v>3</v>
      </c>
    </row>
    <row r="5" spans="1:3" x14ac:dyDescent="0.25">
      <c r="A5" s="17">
        <v>2</v>
      </c>
      <c r="B5" s="18" t="s">
        <v>4</v>
      </c>
      <c r="C5" s="19" t="s">
        <v>5</v>
      </c>
    </row>
    <row r="6" spans="1:3" x14ac:dyDescent="0.25">
      <c r="A6" s="15">
        <v>3</v>
      </c>
      <c r="B6" s="16" t="s">
        <v>2</v>
      </c>
      <c r="C6" s="16" t="s">
        <v>6</v>
      </c>
    </row>
    <row r="7" spans="1:3" x14ac:dyDescent="0.25">
      <c r="A7" s="17">
        <v>4</v>
      </c>
      <c r="B7" s="18" t="s">
        <v>7</v>
      </c>
      <c r="C7" s="18" t="s">
        <v>8</v>
      </c>
    </row>
    <row r="8" spans="1:3" x14ac:dyDescent="0.25">
      <c r="A8" s="15">
        <v>5</v>
      </c>
      <c r="B8" s="16" t="s">
        <v>9</v>
      </c>
      <c r="C8" s="16" t="s">
        <v>10</v>
      </c>
    </row>
    <row r="9" spans="1:3" x14ac:dyDescent="0.25">
      <c r="A9" s="17">
        <v>6</v>
      </c>
      <c r="B9" s="18" t="s">
        <v>11</v>
      </c>
      <c r="C9" s="19" t="s">
        <v>12</v>
      </c>
    </row>
    <row r="10" spans="1:3" x14ac:dyDescent="0.25">
      <c r="A10" s="15">
        <v>7</v>
      </c>
      <c r="B10" s="16" t="s">
        <v>13</v>
      </c>
      <c r="C10" s="16" t="s">
        <v>14</v>
      </c>
    </row>
    <row r="11" spans="1:3" x14ac:dyDescent="0.25">
      <c r="A11" s="17">
        <v>8</v>
      </c>
      <c r="B11" s="18" t="s">
        <v>15</v>
      </c>
      <c r="C11" s="18" t="s">
        <v>16</v>
      </c>
    </row>
    <row r="12" spans="1:3" x14ac:dyDescent="0.25">
      <c r="A12" s="15">
        <v>9</v>
      </c>
      <c r="B12" s="16" t="s">
        <v>7</v>
      </c>
      <c r="C12" s="16" t="s">
        <v>17</v>
      </c>
    </row>
    <row r="13" spans="1:3" x14ac:dyDescent="0.25">
      <c r="A13" s="17">
        <v>10</v>
      </c>
      <c r="B13" s="18" t="s">
        <v>18</v>
      </c>
      <c r="C13" s="18" t="s">
        <v>19</v>
      </c>
    </row>
    <row r="14" spans="1:3" x14ac:dyDescent="0.25">
      <c r="A14" s="20">
        <v>11</v>
      </c>
      <c r="B14" s="21" t="s">
        <v>7</v>
      </c>
      <c r="C14" s="21" t="s">
        <v>20</v>
      </c>
    </row>
    <row r="15" spans="1:3" x14ac:dyDescent="0.25">
      <c r="A15" s="17">
        <v>12</v>
      </c>
      <c r="B15" s="18" t="s">
        <v>11</v>
      </c>
      <c r="C15" s="18" t="s">
        <v>21</v>
      </c>
    </row>
    <row r="16" spans="1:3" x14ac:dyDescent="0.25">
      <c r="A16" s="15">
        <v>13</v>
      </c>
      <c r="B16" s="16" t="s">
        <v>15</v>
      </c>
      <c r="C16" s="16" t="s">
        <v>22</v>
      </c>
    </row>
    <row r="17" spans="1:9" x14ac:dyDescent="0.25">
      <c r="A17" s="17">
        <v>14</v>
      </c>
      <c r="B17" s="18" t="s">
        <v>23</v>
      </c>
      <c r="C17" s="18" t="s">
        <v>24</v>
      </c>
    </row>
    <row r="18" spans="1:9" x14ac:dyDescent="0.25">
      <c r="A18" s="15">
        <v>15</v>
      </c>
      <c r="B18" s="16" t="s">
        <v>25</v>
      </c>
      <c r="C18" s="16" t="s">
        <v>26</v>
      </c>
      <c r="D18" s="5"/>
      <c r="E18" s="5"/>
      <c r="F18" s="5"/>
      <c r="G18" s="5"/>
      <c r="H18" s="5"/>
      <c r="I18" s="5"/>
    </row>
    <row r="19" spans="1:9" ht="15.75" customHeight="1" x14ac:dyDescent="0.25">
      <c r="A19" s="17">
        <v>16</v>
      </c>
      <c r="B19" s="18" t="s">
        <v>27</v>
      </c>
      <c r="C19" s="18" t="s">
        <v>28</v>
      </c>
    </row>
    <row r="20" spans="1:9" ht="15.75" customHeight="1" x14ac:dyDescent="0.25">
      <c r="A20" s="15">
        <v>17</v>
      </c>
      <c r="B20" s="16" t="s">
        <v>29</v>
      </c>
      <c r="C20" s="16" t="s">
        <v>30</v>
      </c>
    </row>
    <row r="21" spans="1:9" ht="15.75" customHeight="1" x14ac:dyDescent="0.25">
      <c r="A21" s="17">
        <v>18</v>
      </c>
      <c r="B21" s="18" t="s">
        <v>2</v>
      </c>
      <c r="C21" s="18" t="s">
        <v>31</v>
      </c>
    </row>
    <row r="22" spans="1:9" ht="15.75" customHeight="1" x14ac:dyDescent="0.25">
      <c r="A22" s="15">
        <v>19</v>
      </c>
      <c r="B22" s="16" t="s">
        <v>25</v>
      </c>
      <c r="C22" s="16" t="s">
        <v>32</v>
      </c>
    </row>
    <row r="23" spans="1:9" ht="15.75" customHeight="1" x14ac:dyDescent="0.25">
      <c r="A23" s="17">
        <v>20</v>
      </c>
      <c r="B23" s="18" t="s">
        <v>7</v>
      </c>
      <c r="C23" s="18" t="s">
        <v>33</v>
      </c>
    </row>
    <row r="24" spans="1:9" ht="15.75" customHeight="1" x14ac:dyDescent="0.25">
      <c r="A24" s="15">
        <v>21</v>
      </c>
      <c r="B24" s="16" t="s">
        <v>7</v>
      </c>
      <c r="C24" s="16" t="s">
        <v>34</v>
      </c>
    </row>
    <row r="25" spans="1:9" ht="15.75" customHeight="1" x14ac:dyDescent="0.25">
      <c r="A25" s="17">
        <v>22</v>
      </c>
      <c r="B25" s="18" t="s">
        <v>35</v>
      </c>
      <c r="C25" s="18" t="s">
        <v>36</v>
      </c>
    </row>
    <row r="26" spans="1:9" ht="15.75" customHeight="1" x14ac:dyDescent="0.25">
      <c r="A26" s="15">
        <v>23</v>
      </c>
      <c r="B26" s="16" t="s">
        <v>37</v>
      </c>
      <c r="C26" s="16" t="s">
        <v>38</v>
      </c>
    </row>
    <row r="27" spans="1:9" ht="15.75" customHeight="1" x14ac:dyDescent="0.25">
      <c r="A27" s="17">
        <v>24</v>
      </c>
      <c r="B27" s="18" t="s">
        <v>7</v>
      </c>
      <c r="C27" s="18" t="s">
        <v>39</v>
      </c>
      <c r="D27" s="6"/>
      <c r="E27" s="6"/>
      <c r="F27" s="6"/>
      <c r="G27" s="6"/>
      <c r="H27" s="6"/>
      <c r="I27" s="6"/>
    </row>
    <row r="28" spans="1:9" ht="15.75" customHeight="1" x14ac:dyDescent="0.25">
      <c r="A28" s="15">
        <v>25</v>
      </c>
      <c r="B28" s="16" t="s">
        <v>11</v>
      </c>
      <c r="C28" s="16" t="s">
        <v>40</v>
      </c>
    </row>
    <row r="29" spans="1:9" ht="15.75" customHeight="1" x14ac:dyDescent="0.25">
      <c r="A29" s="17">
        <v>26</v>
      </c>
      <c r="B29" s="18" t="s">
        <v>37</v>
      </c>
      <c r="C29" s="18" t="s">
        <v>41</v>
      </c>
    </row>
    <row r="30" spans="1:9" ht="15.75" customHeight="1" x14ac:dyDescent="0.25">
      <c r="A30" s="15">
        <v>27</v>
      </c>
      <c r="B30" s="16" t="s">
        <v>29</v>
      </c>
      <c r="C30" s="16" t="s">
        <v>42</v>
      </c>
    </row>
    <row r="31" spans="1:9" ht="15.75" customHeight="1" x14ac:dyDescent="0.25">
      <c r="A31" s="17">
        <v>28</v>
      </c>
      <c r="B31" s="18" t="s">
        <v>15</v>
      </c>
      <c r="C31" s="18" t="s">
        <v>43</v>
      </c>
      <c r="D31" s="6"/>
      <c r="E31" s="6"/>
      <c r="F31" s="6"/>
      <c r="G31" s="6"/>
      <c r="H31" s="6"/>
      <c r="I31" s="6"/>
    </row>
    <row r="32" spans="1:9" ht="15.75" customHeight="1" x14ac:dyDescent="0.25">
      <c r="A32" s="15">
        <v>29</v>
      </c>
      <c r="B32" s="16" t="s">
        <v>11</v>
      </c>
      <c r="C32" s="16" t="s">
        <v>44</v>
      </c>
      <c r="D32" s="6"/>
      <c r="E32" s="6"/>
      <c r="F32" s="6"/>
      <c r="G32" s="6"/>
      <c r="H32" s="6"/>
      <c r="I32" s="6"/>
    </row>
    <row r="33" spans="1:9" ht="15.75" customHeight="1" x14ac:dyDescent="0.25">
      <c r="A33" s="17">
        <v>30</v>
      </c>
      <c r="B33" s="18" t="s">
        <v>23</v>
      </c>
      <c r="C33" s="18" t="s">
        <v>45</v>
      </c>
    </row>
    <row r="34" spans="1:9" ht="15.75" customHeight="1" x14ac:dyDescent="0.25">
      <c r="A34" s="15">
        <v>31</v>
      </c>
      <c r="B34" s="16" t="s">
        <v>46</v>
      </c>
      <c r="C34" s="16" t="s">
        <v>47</v>
      </c>
    </row>
    <row r="35" spans="1:9" ht="15.75" customHeight="1" x14ac:dyDescent="0.25">
      <c r="A35" s="17">
        <v>32</v>
      </c>
      <c r="B35" s="18" t="s">
        <v>2</v>
      </c>
      <c r="C35" s="18" t="s">
        <v>48</v>
      </c>
    </row>
    <row r="36" spans="1:9" ht="15.75" customHeight="1" x14ac:dyDescent="0.25">
      <c r="A36" s="15">
        <v>33</v>
      </c>
      <c r="B36" s="16" t="s">
        <v>2</v>
      </c>
      <c r="C36" s="16" t="s">
        <v>49</v>
      </c>
    </row>
    <row r="37" spans="1:9" ht="15.75" customHeight="1" x14ac:dyDescent="0.25">
      <c r="A37" s="17">
        <v>34</v>
      </c>
      <c r="B37" s="18" t="s">
        <v>50</v>
      </c>
      <c r="C37" s="18" t="s">
        <v>51</v>
      </c>
    </row>
    <row r="38" spans="1:9" ht="15.75" customHeight="1" x14ac:dyDescent="0.25">
      <c r="A38" s="15">
        <v>35</v>
      </c>
      <c r="B38" s="16" t="s">
        <v>52</v>
      </c>
      <c r="C38" s="16" t="s">
        <v>53</v>
      </c>
    </row>
    <row r="39" spans="1:9" ht="15.75" customHeight="1" x14ac:dyDescent="0.25">
      <c r="A39" s="17">
        <v>36</v>
      </c>
      <c r="B39" s="18" t="s">
        <v>54</v>
      </c>
      <c r="C39" s="18" t="s">
        <v>55</v>
      </c>
    </row>
    <row r="40" spans="1:9" ht="15.75" customHeight="1" x14ac:dyDescent="0.25">
      <c r="A40" s="15">
        <v>37</v>
      </c>
      <c r="B40" s="16" t="s">
        <v>56</v>
      </c>
      <c r="C40" s="16" t="s">
        <v>57</v>
      </c>
    </row>
    <row r="41" spans="1:9" ht="15.75" customHeight="1" x14ac:dyDescent="0.25">
      <c r="A41" s="17">
        <v>38</v>
      </c>
      <c r="B41" s="18" t="s">
        <v>13</v>
      </c>
      <c r="C41" s="18" t="s">
        <v>58</v>
      </c>
      <c r="D41" s="6"/>
      <c r="E41" s="6"/>
      <c r="F41" s="6"/>
      <c r="G41" s="6"/>
      <c r="H41" s="6"/>
      <c r="I41" s="6"/>
    </row>
    <row r="42" spans="1:9" ht="15.75" customHeight="1" x14ac:dyDescent="0.25">
      <c r="A42" s="15">
        <v>39</v>
      </c>
      <c r="B42" s="16" t="s">
        <v>56</v>
      </c>
      <c r="C42" s="16" t="s">
        <v>59</v>
      </c>
      <c r="D42" s="6"/>
      <c r="E42" s="6"/>
      <c r="F42" s="6"/>
      <c r="G42" s="6"/>
      <c r="H42" s="6"/>
      <c r="I42" s="6"/>
    </row>
    <row r="43" spans="1:9" ht="15.75" customHeight="1" x14ac:dyDescent="0.25">
      <c r="A43" s="17">
        <v>40</v>
      </c>
      <c r="B43" s="18" t="s">
        <v>60</v>
      </c>
      <c r="C43" s="18" t="s">
        <v>61</v>
      </c>
    </row>
    <row r="44" spans="1:9" ht="15.75" customHeight="1" x14ac:dyDescent="0.25">
      <c r="A44" s="15">
        <v>41</v>
      </c>
      <c r="B44" s="16" t="s">
        <v>62</v>
      </c>
      <c r="C44" s="16" t="s">
        <v>63</v>
      </c>
    </row>
    <row r="45" spans="1:9" ht="15.75" customHeight="1" x14ac:dyDescent="0.25">
      <c r="A45" s="17">
        <v>42</v>
      </c>
      <c r="B45" s="18" t="s">
        <v>64</v>
      </c>
      <c r="C45" s="18" t="s">
        <v>65</v>
      </c>
    </row>
    <row r="46" spans="1:9" ht="15.75" customHeight="1" x14ac:dyDescent="0.25">
      <c r="A46" s="15">
        <v>43</v>
      </c>
      <c r="B46" s="16" t="s">
        <v>66</v>
      </c>
      <c r="C46" s="16" t="s">
        <v>67</v>
      </c>
    </row>
    <row r="47" spans="1:9" ht="15.75" customHeight="1" x14ac:dyDescent="0.25">
      <c r="A47" s="17">
        <v>44</v>
      </c>
      <c r="B47" s="18" t="s">
        <v>54</v>
      </c>
      <c r="C47" s="18" t="s">
        <v>68</v>
      </c>
    </row>
    <row r="48" spans="1:9" ht="15.75" customHeight="1" x14ac:dyDescent="0.25">
      <c r="A48" s="15">
        <v>45</v>
      </c>
      <c r="B48" s="16" t="s">
        <v>69</v>
      </c>
      <c r="C48" s="16" t="s">
        <v>70</v>
      </c>
    </row>
    <row r="49" spans="1:9" ht="15.75" customHeight="1" x14ac:dyDescent="0.25">
      <c r="A49" s="17">
        <v>46</v>
      </c>
      <c r="B49" s="18" t="s">
        <v>71</v>
      </c>
      <c r="C49" s="18" t="s">
        <v>72</v>
      </c>
    </row>
    <row r="50" spans="1:9" ht="15.75" customHeight="1" x14ac:dyDescent="0.25">
      <c r="A50" s="15">
        <v>47</v>
      </c>
      <c r="B50" s="16" t="s">
        <v>73</v>
      </c>
      <c r="C50" s="16" t="s">
        <v>74</v>
      </c>
    </row>
    <row r="51" spans="1:9" ht="15.75" customHeight="1" x14ac:dyDescent="0.25">
      <c r="A51" s="17">
        <v>48</v>
      </c>
      <c r="B51" s="22" t="s">
        <v>75</v>
      </c>
      <c r="C51" s="18" t="s">
        <v>76</v>
      </c>
    </row>
    <row r="52" spans="1:9" ht="15.75" customHeight="1" x14ac:dyDescent="0.25">
      <c r="A52" s="15">
        <v>49</v>
      </c>
      <c r="B52" s="16" t="s">
        <v>18</v>
      </c>
      <c r="C52" s="16" t="s">
        <v>77</v>
      </c>
    </row>
    <row r="53" spans="1:9" ht="15.75" customHeight="1" x14ac:dyDescent="0.25">
      <c r="A53" s="17">
        <v>50</v>
      </c>
      <c r="B53" s="18" t="s">
        <v>7</v>
      </c>
      <c r="C53" s="18" t="s">
        <v>78</v>
      </c>
    </row>
    <row r="54" spans="1:9" ht="15.75" customHeight="1" x14ac:dyDescent="0.25">
      <c r="A54" s="15">
        <v>51</v>
      </c>
      <c r="B54" s="16" t="s">
        <v>2</v>
      </c>
      <c r="C54" s="16" t="s">
        <v>79</v>
      </c>
    </row>
    <row r="55" spans="1:9" ht="15.75" customHeight="1" x14ac:dyDescent="0.25">
      <c r="A55" s="17">
        <v>52</v>
      </c>
      <c r="B55" s="18" t="s">
        <v>56</v>
      </c>
      <c r="C55" s="18" t="s">
        <v>80</v>
      </c>
    </row>
    <row r="56" spans="1:9" ht="15.75" customHeight="1" x14ac:dyDescent="0.25">
      <c r="A56" s="15">
        <v>53</v>
      </c>
      <c r="B56" s="16" t="s">
        <v>81</v>
      </c>
      <c r="C56" s="16" t="s">
        <v>82</v>
      </c>
    </row>
    <row r="57" spans="1:9" ht="15.75" customHeight="1" x14ac:dyDescent="0.25">
      <c r="A57" s="17">
        <v>54</v>
      </c>
      <c r="B57" s="18" t="s">
        <v>66</v>
      </c>
      <c r="C57" s="18" t="s">
        <v>83</v>
      </c>
    </row>
    <row r="58" spans="1:9" ht="15.75" customHeight="1" x14ac:dyDescent="0.25">
      <c r="A58" s="15">
        <v>55</v>
      </c>
      <c r="B58" s="16" t="s">
        <v>73</v>
      </c>
      <c r="C58" s="16" t="s">
        <v>84</v>
      </c>
      <c r="D58" s="5"/>
      <c r="E58" s="5"/>
      <c r="F58" s="5"/>
      <c r="G58" s="5"/>
      <c r="H58" s="5"/>
      <c r="I58" s="5"/>
    </row>
    <row r="59" spans="1:9" ht="15.75" customHeight="1" x14ac:dyDescent="0.25">
      <c r="A59" s="17">
        <v>56</v>
      </c>
      <c r="B59" s="18" t="s">
        <v>85</v>
      </c>
      <c r="C59" s="18" t="s">
        <v>86</v>
      </c>
    </row>
    <row r="60" spans="1:9" ht="15.75" customHeight="1" x14ac:dyDescent="0.25">
      <c r="A60" s="15">
        <v>57</v>
      </c>
      <c r="B60" s="16" t="s">
        <v>87</v>
      </c>
      <c r="C60" s="16" t="s">
        <v>88</v>
      </c>
    </row>
    <row r="61" spans="1:9" ht="15.75" customHeight="1" x14ac:dyDescent="0.25">
      <c r="A61" s="17">
        <v>58</v>
      </c>
      <c r="B61" s="18" t="s">
        <v>87</v>
      </c>
      <c r="C61" s="18" t="s">
        <v>89</v>
      </c>
    </row>
    <row r="62" spans="1:9" ht="15.75" customHeight="1" x14ac:dyDescent="0.25">
      <c r="A62" s="15">
        <v>59</v>
      </c>
      <c r="B62" s="16" t="s">
        <v>81</v>
      </c>
      <c r="C62" s="16" t="s">
        <v>90</v>
      </c>
    </row>
    <row r="63" spans="1:9" ht="15.75" customHeight="1" x14ac:dyDescent="0.25">
      <c r="A63" s="17">
        <v>60</v>
      </c>
      <c r="B63" s="18" t="s">
        <v>46</v>
      </c>
      <c r="C63" s="18" t="s">
        <v>91</v>
      </c>
    </row>
    <row r="64" spans="1:9" ht="15.75" customHeight="1" x14ac:dyDescent="0.25">
      <c r="A64" s="15">
        <v>61</v>
      </c>
      <c r="B64" s="16" t="s">
        <v>64</v>
      </c>
      <c r="C64" s="16" t="s">
        <v>92</v>
      </c>
    </row>
    <row r="65" spans="1:3" ht="15.75" customHeight="1" x14ac:dyDescent="0.25">
      <c r="A65" s="17">
        <v>62</v>
      </c>
      <c r="B65" s="18" t="s">
        <v>93</v>
      </c>
      <c r="C65" s="18" t="s">
        <v>94</v>
      </c>
    </row>
    <row r="66" spans="1:3" ht="15.75" customHeight="1" x14ac:dyDescent="0.25">
      <c r="A66" s="15">
        <v>63</v>
      </c>
      <c r="B66" s="16" t="s">
        <v>7</v>
      </c>
      <c r="C66" s="16" t="s">
        <v>95</v>
      </c>
    </row>
    <row r="67" spans="1:3" ht="15.75" customHeight="1" x14ac:dyDescent="0.25">
      <c r="A67" s="17">
        <v>64</v>
      </c>
      <c r="B67" s="18" t="s">
        <v>54</v>
      </c>
      <c r="C67" s="18" t="s">
        <v>96</v>
      </c>
    </row>
    <row r="68" spans="1:3" ht="15.75" customHeight="1" x14ac:dyDescent="0.25">
      <c r="A68" s="15">
        <v>65</v>
      </c>
      <c r="B68" s="16" t="s">
        <v>50</v>
      </c>
      <c r="C68" s="16" t="s">
        <v>97</v>
      </c>
    </row>
    <row r="69" spans="1:3" ht="15.75" customHeight="1" x14ac:dyDescent="0.25">
      <c r="A69" s="17">
        <v>66</v>
      </c>
      <c r="B69" s="18" t="s">
        <v>98</v>
      </c>
      <c r="C69" s="18" t="s">
        <v>99</v>
      </c>
    </row>
    <row r="70" spans="1:3" ht="15.75" customHeight="1" x14ac:dyDescent="0.25">
      <c r="A70" s="15">
        <v>67</v>
      </c>
      <c r="B70" s="16" t="s">
        <v>7</v>
      </c>
      <c r="C70" s="16" t="s">
        <v>100</v>
      </c>
    </row>
    <row r="71" spans="1:3" ht="15.75" customHeight="1" x14ac:dyDescent="0.25">
      <c r="A71" s="17">
        <v>68</v>
      </c>
      <c r="B71" s="18" t="s">
        <v>23</v>
      </c>
      <c r="C71" s="18" t="s">
        <v>101</v>
      </c>
    </row>
    <row r="72" spans="1:3" ht="15.75" customHeight="1" x14ac:dyDescent="0.25">
      <c r="A72" s="15">
        <v>69</v>
      </c>
      <c r="B72" s="16" t="s">
        <v>102</v>
      </c>
      <c r="C72" s="16" t="s">
        <v>103</v>
      </c>
    </row>
    <row r="73" spans="1:3" ht="15.75" customHeight="1" x14ac:dyDescent="0.25">
      <c r="A73" s="17">
        <v>70</v>
      </c>
      <c r="B73" s="18" t="s">
        <v>85</v>
      </c>
      <c r="C73" s="18" t="s">
        <v>104</v>
      </c>
    </row>
    <row r="74" spans="1:3" ht="15.75" customHeight="1" x14ac:dyDescent="0.25">
      <c r="A74" s="15">
        <v>71</v>
      </c>
      <c r="B74" s="16" t="s">
        <v>105</v>
      </c>
      <c r="C74" s="16" t="s">
        <v>106</v>
      </c>
    </row>
    <row r="75" spans="1:3" ht="15.75" customHeight="1" x14ac:dyDescent="0.25">
      <c r="A75" s="17">
        <v>72</v>
      </c>
      <c r="B75" s="18" t="s">
        <v>107</v>
      </c>
      <c r="C75" s="18" t="s">
        <v>108</v>
      </c>
    </row>
    <row r="76" spans="1:3" ht="15.75" customHeight="1" x14ac:dyDescent="0.25">
      <c r="A76" s="15">
        <v>73</v>
      </c>
      <c r="B76" s="16" t="s">
        <v>102</v>
      </c>
      <c r="C76" s="16" t="s">
        <v>109</v>
      </c>
    </row>
    <row r="77" spans="1:3" ht="15.75" customHeight="1" x14ac:dyDescent="0.25">
      <c r="A77" s="17">
        <v>74</v>
      </c>
      <c r="B77" s="18" t="s">
        <v>110</v>
      </c>
      <c r="C77" s="18" t="s">
        <v>111</v>
      </c>
    </row>
    <row r="78" spans="1:3" ht="15.75" customHeight="1" x14ac:dyDescent="0.25">
      <c r="A78" s="15">
        <v>75</v>
      </c>
      <c r="B78" s="16" t="s">
        <v>62</v>
      </c>
      <c r="C78" s="16" t="s">
        <v>112</v>
      </c>
    </row>
    <row r="79" spans="1:3" ht="15.75" customHeight="1" x14ac:dyDescent="0.25">
      <c r="A79" s="17">
        <v>76</v>
      </c>
      <c r="B79" s="18" t="s">
        <v>102</v>
      </c>
      <c r="C79" s="18" t="s">
        <v>113</v>
      </c>
    </row>
    <row r="80" spans="1:3" ht="15.75" customHeight="1" x14ac:dyDescent="0.25">
      <c r="A80" s="15">
        <v>77</v>
      </c>
      <c r="B80" s="16" t="s">
        <v>4</v>
      </c>
      <c r="C80" s="16" t="s">
        <v>114</v>
      </c>
    </row>
    <row r="81" spans="1:9" ht="15.75" customHeight="1" x14ac:dyDescent="0.25">
      <c r="A81" s="17">
        <v>78</v>
      </c>
      <c r="B81" s="18" t="s">
        <v>66</v>
      </c>
      <c r="C81" s="18" t="s">
        <v>115</v>
      </c>
    </row>
    <row r="82" spans="1:9" ht="15.75" customHeight="1" x14ac:dyDescent="0.25">
      <c r="A82" s="15">
        <v>79</v>
      </c>
      <c r="B82" s="16" t="s">
        <v>66</v>
      </c>
      <c r="C82" s="16" t="s">
        <v>116</v>
      </c>
      <c r="D82" s="6"/>
      <c r="E82" s="6"/>
      <c r="F82" s="6"/>
      <c r="G82" s="6"/>
      <c r="H82" s="6"/>
      <c r="I82" s="6"/>
    </row>
    <row r="83" spans="1:9" ht="15.75" customHeight="1" x14ac:dyDescent="0.25">
      <c r="A83" s="17">
        <v>80</v>
      </c>
      <c r="B83" s="18" t="s">
        <v>110</v>
      </c>
      <c r="C83" s="18" t="s">
        <v>117</v>
      </c>
      <c r="D83" s="6"/>
      <c r="E83" s="6"/>
      <c r="F83" s="6"/>
      <c r="G83" s="6"/>
      <c r="H83" s="6"/>
      <c r="I83" s="6"/>
    </row>
    <row r="84" spans="1:9" ht="15.75" customHeight="1" x14ac:dyDescent="0.25">
      <c r="A84" s="15">
        <v>81</v>
      </c>
      <c r="B84" s="16" t="s">
        <v>66</v>
      </c>
      <c r="C84" s="16" t="s">
        <v>118</v>
      </c>
    </row>
    <row r="85" spans="1:9" ht="15.75" customHeight="1" x14ac:dyDescent="0.25">
      <c r="A85" s="17">
        <v>82</v>
      </c>
      <c r="B85" s="18" t="s">
        <v>71</v>
      </c>
      <c r="C85" s="18" t="s">
        <v>119</v>
      </c>
    </row>
    <row r="86" spans="1:9" ht="15.75" customHeight="1" x14ac:dyDescent="0.25">
      <c r="A86" s="15">
        <v>83</v>
      </c>
      <c r="B86" s="16" t="s">
        <v>2</v>
      </c>
      <c r="C86" s="16" t="s">
        <v>120</v>
      </c>
    </row>
    <row r="87" spans="1:9" ht="15.75" customHeight="1" x14ac:dyDescent="0.25">
      <c r="A87" s="17">
        <v>84</v>
      </c>
      <c r="B87" s="18" t="s">
        <v>98</v>
      </c>
      <c r="C87" s="18" t="s">
        <v>121</v>
      </c>
    </row>
    <row r="88" spans="1:9" ht="15.75" customHeight="1" x14ac:dyDescent="0.25">
      <c r="A88" s="15">
        <v>85</v>
      </c>
      <c r="B88" s="16" t="s">
        <v>122</v>
      </c>
      <c r="C88" s="16" t="s">
        <v>123</v>
      </c>
    </row>
    <row r="89" spans="1:9" ht="15.75" customHeight="1" x14ac:dyDescent="0.25">
      <c r="A89" s="17">
        <v>86</v>
      </c>
      <c r="B89" s="18" t="s">
        <v>124</v>
      </c>
      <c r="C89" s="18" t="s">
        <v>125</v>
      </c>
    </row>
    <row r="90" spans="1:9" ht="15.75" customHeight="1" x14ac:dyDescent="0.25">
      <c r="A90" s="15">
        <v>87</v>
      </c>
      <c r="B90" s="16" t="s">
        <v>69</v>
      </c>
      <c r="C90" s="16" t="s">
        <v>126</v>
      </c>
    </row>
    <row r="91" spans="1:9" ht="15.75" customHeight="1" x14ac:dyDescent="0.25">
      <c r="A91" s="17">
        <v>88</v>
      </c>
      <c r="B91" s="18" t="s">
        <v>127</v>
      </c>
      <c r="C91" s="18" t="s">
        <v>128</v>
      </c>
    </row>
    <row r="92" spans="1:9" ht="15.75" customHeight="1" x14ac:dyDescent="0.25">
      <c r="A92" s="15">
        <v>89</v>
      </c>
      <c r="B92" s="16" t="s">
        <v>85</v>
      </c>
      <c r="C92" s="16" t="s">
        <v>129</v>
      </c>
    </row>
    <row r="93" spans="1:9" ht="15.75" customHeight="1" x14ac:dyDescent="0.25">
      <c r="A93" s="17">
        <v>90</v>
      </c>
      <c r="B93" s="18" t="s">
        <v>105</v>
      </c>
      <c r="C93" s="18" t="s">
        <v>130</v>
      </c>
    </row>
    <row r="94" spans="1:9" ht="15.75" customHeight="1" x14ac:dyDescent="0.25">
      <c r="A94" s="15">
        <v>91</v>
      </c>
      <c r="B94" s="16" t="s">
        <v>131</v>
      </c>
      <c r="C94" s="16" t="s">
        <v>132</v>
      </c>
    </row>
    <row r="95" spans="1:9" ht="15.75" customHeight="1" x14ac:dyDescent="0.25">
      <c r="C95" s="1"/>
    </row>
    <row r="96" spans="1:9" ht="15.75" customHeight="1" x14ac:dyDescent="0.25">
      <c r="C96" s="1"/>
    </row>
    <row r="97" spans="2:3" ht="15.75" customHeight="1" x14ac:dyDescent="0.25">
      <c r="B97" s="9"/>
      <c r="C97" s="1"/>
    </row>
    <row r="98" spans="2:3" ht="15.75" customHeight="1" x14ac:dyDescent="0.25">
      <c r="C98" s="1"/>
    </row>
    <row r="99" spans="2:3" ht="15.75" customHeight="1" x14ac:dyDescent="0.25">
      <c r="B99" s="9"/>
      <c r="C99" s="1"/>
    </row>
    <row r="100" spans="2:3" ht="15.75" customHeight="1" x14ac:dyDescent="0.25">
      <c r="C100" s="1"/>
    </row>
    <row r="101" spans="2:3" ht="15.75" customHeight="1" x14ac:dyDescent="0.25">
      <c r="B101" s="9"/>
      <c r="C101" s="1"/>
    </row>
    <row r="102" spans="2:3" ht="15.75" customHeight="1" x14ac:dyDescent="0.25">
      <c r="C102" s="1"/>
    </row>
    <row r="103" spans="2:3" ht="15.75" customHeight="1" x14ac:dyDescent="0.25">
      <c r="C103" s="1"/>
    </row>
    <row r="104" spans="2:3" ht="15.75" customHeight="1" x14ac:dyDescent="0.25">
      <c r="C104" s="1"/>
    </row>
    <row r="105" spans="2:3" ht="15.75" customHeight="1" x14ac:dyDescent="0.25">
      <c r="C105" s="1"/>
    </row>
    <row r="106" spans="2:3" ht="15.75" customHeight="1" x14ac:dyDescent="0.25">
      <c r="C106" s="1"/>
    </row>
    <row r="107" spans="2:3" ht="15.75" customHeight="1" x14ac:dyDescent="0.25">
      <c r="C107" s="1"/>
    </row>
    <row r="108" spans="2:3" ht="15.75" customHeight="1" x14ac:dyDescent="0.25">
      <c r="C108" s="1"/>
    </row>
    <row r="109" spans="2:3" ht="15.75" customHeight="1" x14ac:dyDescent="0.25">
      <c r="C109" s="1"/>
    </row>
    <row r="110" spans="2:3" ht="15.75" customHeight="1" x14ac:dyDescent="0.25">
      <c r="C110" s="1"/>
    </row>
    <row r="111" spans="2:3" ht="15.75" customHeight="1" x14ac:dyDescent="0.25">
      <c r="C111" s="1"/>
    </row>
    <row r="112" spans="2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</sheetData>
  <autoFilter ref="B3:C94" xr:uid="{00000000-0009-0000-0000-000000000000}"/>
  <mergeCells count="1">
    <mergeCell ref="A1:C1"/>
  </mergeCells>
  <pageMargins left="0.25" right="0.25" top="0.75" bottom="0.75" header="0" footer="0"/>
  <pageSetup paperSize="8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AO243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5"/>
  <cols>
    <col min="1" max="3" width="20.140625" customWidth="1"/>
    <col min="5" max="5" width="15.42578125" customWidth="1"/>
    <col min="9" max="9" width="18.5703125" customWidth="1"/>
    <col min="11" max="11" width="13.140625" customWidth="1"/>
    <col min="12" max="13" width="6.28515625" customWidth="1"/>
    <col min="14" max="14" width="13.140625" customWidth="1"/>
    <col min="15" max="16" width="6.28515625" customWidth="1"/>
    <col min="17" max="17" width="13.140625" customWidth="1"/>
    <col min="18" max="19" width="6.28515625" customWidth="1"/>
    <col min="20" max="20" width="13.140625" customWidth="1"/>
    <col min="21" max="22" width="6.28515625" customWidth="1"/>
    <col min="23" max="23" width="13.140625" customWidth="1"/>
    <col min="24" max="25" width="6.28515625" customWidth="1"/>
    <col min="26" max="26" width="13.140625" customWidth="1"/>
    <col min="27" max="28" width="6.28515625" customWidth="1"/>
    <col min="29" max="29" width="13.140625" customWidth="1"/>
    <col min="30" max="31" width="6.28515625" customWidth="1"/>
    <col min="32" max="32" width="13.140625" customWidth="1"/>
    <col min="33" max="34" width="6.28515625" customWidth="1"/>
    <col min="35" max="35" width="13.140625" customWidth="1"/>
    <col min="36" max="37" width="6.28515625" customWidth="1"/>
    <col min="38" max="38" width="10.42578125" customWidth="1"/>
    <col min="39" max="40" width="5.42578125" customWidth="1"/>
  </cols>
  <sheetData>
    <row r="1" spans="1:41" x14ac:dyDescent="0.25">
      <c r="K1" s="10" t="s">
        <v>133</v>
      </c>
      <c r="L1" s="11" t="s">
        <v>134</v>
      </c>
      <c r="M1" s="7"/>
      <c r="O1" s="11" t="s">
        <v>135</v>
      </c>
      <c r="R1" s="11" t="s">
        <v>136</v>
      </c>
      <c r="U1" s="11" t="s">
        <v>137</v>
      </c>
      <c r="X1" s="11" t="s">
        <v>138</v>
      </c>
      <c r="AA1" s="11" t="s">
        <v>139</v>
      </c>
      <c r="AD1" s="11" t="s">
        <v>140</v>
      </c>
      <c r="AG1" s="11" t="s">
        <v>141</v>
      </c>
      <c r="AJ1" s="11" t="s">
        <v>142</v>
      </c>
      <c r="AM1" s="11" t="s">
        <v>143</v>
      </c>
    </row>
    <row r="2" spans="1:41" x14ac:dyDescent="0.25">
      <c r="A2" s="7"/>
      <c r="B2" s="7"/>
      <c r="C2" s="7" t="s">
        <v>144</v>
      </c>
      <c r="D2" s="7" t="s">
        <v>145</v>
      </c>
      <c r="E2" s="8" t="str">
        <f ca="1">IFERROR(__xludf.DUMMYFUNCTION("IMPORTRANGE(""https://docs.google.com/spreadsheets/d/1KfvsqbAeD_aaSTJ4qzkBUEhvyLWJjgL5x0DGZqayS8k/edit?gid=1410096515#gid=1410096515"",""Form Responses 1!A1:G400"")"),"Timestamp")</f>
        <v>Timestamp</v>
      </c>
      <c r="F2" s="8" t="str">
        <f ca="1">IFERROR(__xludf.DUMMYFUNCTION("""COMPUTED_VALUE"""),"Skola")</f>
        <v>Skola</v>
      </c>
      <c r="G2" s="8" t="str">
        <f ca="1">IFERROR(__xludf.DUMMYFUNCTION("""COMPUTED_VALUE"""),"Komandas nosaukums ")</f>
        <v xml:space="preserve">Komandas nosaukums </v>
      </c>
      <c r="H2" s="8" t="str">
        <f ca="1">IFERROR(__xludf.DUMMYFUNCTION("""COMPUTED_VALUE"""),"Pirmā dalībnieka vārds uzvārds")</f>
        <v>Pirmā dalībnieka vārds uzvārds</v>
      </c>
      <c r="I2" s="8" t="str">
        <f ca="1">IFERROR(__xludf.DUMMYFUNCTION("""COMPUTED_VALUE"""),"Otrā dalībnieka vārds uzvārds")</f>
        <v>Otrā dalībnieka vārds uzvārds</v>
      </c>
      <c r="J2" s="8" t="str">
        <f ca="1">IFERROR(__xludf.DUMMYFUNCTION("""COMPUTED_VALUE"""),"Trešā dalībnieka vārds uzvārds")</f>
        <v>Trešā dalībnieka vārds uzvārds</v>
      </c>
      <c r="K2" s="8" t="str">
        <f ca="1">IFERROR(__xludf.DUMMYFUNCTION("""COMPUTED_VALUE"""),"1. uzdevums")</f>
        <v>1. uzdevums</v>
      </c>
      <c r="L2" s="7" t="s">
        <v>146</v>
      </c>
      <c r="M2" s="7" t="s">
        <v>147</v>
      </c>
      <c r="N2" s="8" t="str">
        <f ca="1">IFERROR(__xludf.DUMMYFUNCTION("IMPORTRANGE(""https://docs.google.com/spreadsheets/d/1KfvsqbAeD_aaSTJ4qzkBUEhvyLWJjgL5x0DGZqayS8k/edit?gid=1410096515#gid=1410096515"",""Form Responses 1!H1:H400"")"),"2. uzdevums")</f>
        <v>2. uzdevums</v>
      </c>
      <c r="O2" s="7" t="s">
        <v>148</v>
      </c>
      <c r="P2" s="7" t="s">
        <v>149</v>
      </c>
      <c r="Q2" s="8" t="str">
        <f ca="1">IFERROR(__xludf.DUMMYFUNCTION("IMPORTRANGE(""https://docs.google.com/spreadsheets/d/1KfvsqbAeD_aaSTJ4qzkBUEhvyLWJjgL5x0DGZqayS8k/edit?gid=1410096515#gid=1410096515"",""Form Responses 1!I1:I400"")"),"3. uzdevums")</f>
        <v>3. uzdevums</v>
      </c>
      <c r="R2" s="7" t="s">
        <v>150</v>
      </c>
      <c r="S2" s="7" t="s">
        <v>151</v>
      </c>
      <c r="T2" s="8" t="str">
        <f ca="1">IFERROR(__xludf.DUMMYFUNCTION("IMPORTRANGE(""https://docs.google.com/spreadsheets/d/1KfvsqbAeD_aaSTJ4qzkBUEhvyLWJjgL5x0DGZqayS8k/edit?gid=1410096515#gid=1410096515"",""Form Responses 1!J1:J400"")"),"4. uzdevums")</f>
        <v>4. uzdevums</v>
      </c>
      <c r="U2" s="7" t="s">
        <v>152</v>
      </c>
      <c r="V2" s="7" t="s">
        <v>153</v>
      </c>
      <c r="W2" s="8" t="str">
        <f ca="1">IFERROR(__xludf.DUMMYFUNCTION("IMPORTRANGE(""https://docs.google.com/spreadsheets/d/1KfvsqbAeD_aaSTJ4qzkBUEhvyLWJjgL5x0DGZqayS8k/edit?gid=1410096515#gid=1410096515"",""Form Responses 1!K1:K400"")"),"5. uzdevums")</f>
        <v>5. uzdevums</v>
      </c>
      <c r="X2" s="7" t="s">
        <v>154</v>
      </c>
      <c r="Y2" s="7" t="s">
        <v>155</v>
      </c>
      <c r="Z2" s="8" t="str">
        <f ca="1">IFERROR(__xludf.DUMMYFUNCTION("IMPORTRANGE(""https://docs.google.com/spreadsheets/d/1KfvsqbAeD_aaSTJ4qzkBUEhvyLWJjgL5x0DGZqayS8k/edit?gid=1410096515#gid=1410096515"",""Form Responses 1!L1:L400"")"),"6. uzdevums")</f>
        <v>6. uzdevums</v>
      </c>
      <c r="AA2" s="7" t="s">
        <v>156</v>
      </c>
      <c r="AB2" s="7" t="s">
        <v>157</v>
      </c>
      <c r="AC2" s="8" t="str">
        <f ca="1">IFERROR(__xludf.DUMMYFUNCTION("IMPORTRANGE(""https://docs.google.com/spreadsheets/d/1KfvsqbAeD_aaSTJ4qzkBUEhvyLWJjgL5x0DGZqayS8k/edit?gid=1410096515#gid=1410096515"",""Form Responses 1!M1:M400"")"),"7. uzdevums")</f>
        <v>7. uzdevums</v>
      </c>
      <c r="AD2" s="7" t="s">
        <v>158</v>
      </c>
      <c r="AE2" s="7" t="s">
        <v>159</v>
      </c>
      <c r="AF2" s="8" t="str">
        <f ca="1">IFERROR(__xludf.DUMMYFUNCTION("IMPORTRANGE(""https://docs.google.com/spreadsheets/d/1KfvsqbAeD_aaSTJ4qzkBUEhvyLWJjgL5x0DGZqayS8k/edit?gid=1410096515#gid=1410096515"",""Form Responses 1!N1:N400"")"),"8. uzdevums")</f>
        <v>8. uzdevums</v>
      </c>
      <c r="AG2" s="7" t="s">
        <v>160</v>
      </c>
      <c r="AH2" s="7" t="s">
        <v>161</v>
      </c>
      <c r="AI2" s="8" t="str">
        <f ca="1">IFERROR(__xludf.DUMMYFUNCTION("IMPORTRANGE(""https://docs.google.com/spreadsheets/d/1KfvsqbAeD_aaSTJ4qzkBUEhvyLWJjgL5x0DGZqayS8k/edit?gid=1410096515#gid=1410096515"",""Form Responses 1!O1:O400"")"),"9. uzdevums")</f>
        <v>9. uzdevums</v>
      </c>
      <c r="AJ2" s="7" t="s">
        <v>162</v>
      </c>
      <c r="AK2" s="7" t="s">
        <v>163</v>
      </c>
      <c r="AL2" s="8" t="str">
        <f ca="1">IFERROR(__xludf.DUMMYFUNCTION("IMPORTRANGE(""https://docs.google.com/spreadsheets/d/1KfvsqbAeD_aaSTJ4qzkBUEhvyLWJjgL5x0DGZqayS8k/edit?gid=1410096515#gid=1410096515"",""Form Responses 1!P1:P400"")"),"10. uzdevums")</f>
        <v>10. uzdevums</v>
      </c>
      <c r="AM2" s="7" t="s">
        <v>164</v>
      </c>
      <c r="AN2" s="7" t="s">
        <v>165</v>
      </c>
      <c r="AO2" s="7" t="s">
        <v>166</v>
      </c>
    </row>
    <row r="3" spans="1:41" hidden="1" x14ac:dyDescent="0.25">
      <c r="B3" s="8" t="str">
        <f ca="1">IF(C3="","",IF(COUNTIF(Rezultāti!C:C,C3)=0,"Labot",""))</f>
        <v/>
      </c>
      <c r="C3" s="8" t="str">
        <f t="shared" ref="C3:C49" ca="1" si="0">IF(COUNTIF(C4:C200,G3)=0,G3,"")</f>
        <v/>
      </c>
      <c r="D3" s="8">
        <f t="shared" ref="D3:D150" ca="1" si="1">OR(L3:M3)+OR(O3:P3)+OR(R3:S3)+OR(U3:V3)+OR(X3:Y3)+OR(AA3:AB3)+OR(AD3:AE3)+OR(AG3:AH3)+OR(AJ3:AK3)+OR(AM3:AN3)</f>
        <v>1</v>
      </c>
      <c r="E3" s="12">
        <f ca="1">IFERROR(__xludf.DUMMYFUNCTION("""COMPUTED_VALUE"""),45603.4175187615)</f>
        <v>45603.417518761496</v>
      </c>
      <c r="F3" s="8" t="str">
        <f ca="1">IFERROR(__xludf.DUMMYFUNCTION("""COMPUTED_VALUE"""),"Rīgas Valsts klasiskā ģimnāzija ")</f>
        <v xml:space="preserve">Rīgas Valsts klasiskā ģimnāzija </v>
      </c>
      <c r="G3" s="8" t="str">
        <f ca="1">IFERROR(__xludf.DUMMYFUNCTION("""COMPUTED_VALUE"""),"SonicX")</f>
        <v>SonicX</v>
      </c>
      <c r="H3" s="8" t="str">
        <f ca="1">IFERROR(__xludf.DUMMYFUNCTION("""COMPUTED_VALUE"""),"Dana Jefimova ")</f>
        <v xml:space="preserve">Dana Jefimova </v>
      </c>
      <c r="I3" s="8" t="str">
        <f ca="1">IFERROR(__xludf.DUMMYFUNCTION("""COMPUTED_VALUE"""),"Sofija Korņjeva")</f>
        <v>Sofija Korņjeva</v>
      </c>
      <c r="J3" s="8" t="str">
        <f ca="1">IFERROR(__xludf.DUMMYFUNCTION("""COMPUTED_VALUE"""),"Anna-Marija Redžepova")</f>
        <v>Anna-Marija Redžepova</v>
      </c>
      <c r="K3" s="8"/>
      <c r="L3" s="13" t="b">
        <f t="shared" ref="L3:L150" si="2">K3=L$1</f>
        <v>0</v>
      </c>
      <c r="N3" s="8" t="str">
        <f ca="1">IFERROR(__xludf.DUMMYFUNCTION("""COMPUTED_VALUE"""),"Zaiga")</f>
        <v>Zaiga</v>
      </c>
      <c r="O3" s="13" t="b">
        <f t="shared" ref="O3:O150" ca="1" si="3">N3=O$1</f>
        <v>1</v>
      </c>
      <c r="Q3" s="8"/>
      <c r="R3" s="13" t="b">
        <f t="shared" ref="R3:R150" si="4">Q3=R$1</f>
        <v>0</v>
      </c>
      <c r="T3" s="8"/>
      <c r="U3" s="13" t="b">
        <f t="shared" ref="U3:U150" si="5">T3=U$1</f>
        <v>0</v>
      </c>
      <c r="W3" s="8"/>
      <c r="X3" s="13" t="b">
        <f t="shared" ref="X3:X150" si="6">W3=X$1</f>
        <v>0</v>
      </c>
      <c r="Z3" s="8"/>
      <c r="AA3" s="13" t="b">
        <f t="shared" ref="AA3:AA150" si="7">Z3=AA$1</f>
        <v>0</v>
      </c>
      <c r="AC3" s="8"/>
      <c r="AD3" s="13" t="b">
        <f t="shared" ref="AD3:AD150" si="8">AC3=AD$1</f>
        <v>0</v>
      </c>
      <c r="AF3" s="8"/>
      <c r="AG3" s="13" t="b">
        <f t="shared" ref="AG3:AG150" si="9">AF3=AG$1</f>
        <v>0</v>
      </c>
      <c r="AI3" s="8"/>
      <c r="AJ3" s="13" t="b">
        <f t="shared" ref="AJ3:AJ150" si="10">AI3=AJ$1</f>
        <v>0</v>
      </c>
      <c r="AL3" s="8"/>
      <c r="AM3" s="13" t="b">
        <f t="shared" ref="AM3:AM150" si="11">AL3=AM$1</f>
        <v>0</v>
      </c>
      <c r="AO3" s="8" t="b">
        <f ca="1">COUNTIF(Rezultāti!C:C,G3)&gt;0</f>
        <v>1</v>
      </c>
    </row>
    <row r="4" spans="1:41" hidden="1" x14ac:dyDescent="0.25">
      <c r="B4" s="8" t="str">
        <f ca="1">IF(C4="","",IF(COUNTIF(Rezultāti!C:C,C4)=0,"Labot",""))</f>
        <v/>
      </c>
      <c r="C4" s="8" t="str">
        <f t="shared" ca="1" si="0"/>
        <v/>
      </c>
      <c r="D4" s="8">
        <f t="shared" ca="1" si="1"/>
        <v>1</v>
      </c>
      <c r="E4" s="12">
        <f ca="1">IFERROR(__xludf.DUMMYFUNCTION("""COMPUTED_VALUE"""),45603.417940081)</f>
        <v>45603.417940081003</v>
      </c>
      <c r="F4" s="8" t="str">
        <f ca="1">IFERROR(__xludf.DUMMYFUNCTION("""COMPUTED_VALUE"""),"Rīgas Hanzas vidusskola")</f>
        <v>Rīgas Hanzas vidusskola</v>
      </c>
      <c r="G4" s="8" t="str">
        <f ca="1">IFERROR(__xludf.DUMMYFUNCTION("""COMPUTED_VALUE"""),"Šokolādes pudiņš")</f>
        <v>Šokolādes pudiņš</v>
      </c>
      <c r="H4" s="8" t="str">
        <f ca="1">IFERROR(__xludf.DUMMYFUNCTION("""COMPUTED_VALUE"""),"Rūdolfs Kilbloks")</f>
        <v>Rūdolfs Kilbloks</v>
      </c>
      <c r="I4" s="8" t="str">
        <f ca="1">IFERROR(__xludf.DUMMYFUNCTION("""COMPUTED_VALUE"""),"Ernests Līcis")</f>
        <v>Ernests Līcis</v>
      </c>
      <c r="J4" s="8" t="str">
        <f ca="1">IFERROR(__xludf.DUMMYFUNCTION("""COMPUTED_VALUE"""),"Elīna Blūma")</f>
        <v>Elīna Blūma</v>
      </c>
      <c r="K4" s="8"/>
      <c r="L4" s="13" t="b">
        <f t="shared" si="2"/>
        <v>0</v>
      </c>
      <c r="N4" s="8"/>
      <c r="O4" s="13" t="b">
        <f t="shared" si="3"/>
        <v>0</v>
      </c>
      <c r="Q4" s="8"/>
      <c r="R4" s="13" t="b">
        <f t="shared" si="4"/>
        <v>0</v>
      </c>
      <c r="T4" s="8"/>
      <c r="U4" s="13" t="b">
        <f t="shared" si="5"/>
        <v>0</v>
      </c>
      <c r="W4" s="8"/>
      <c r="X4" s="13" t="b">
        <f t="shared" si="6"/>
        <v>0</v>
      </c>
      <c r="Z4" s="8"/>
      <c r="AA4" s="13" t="b">
        <f t="shared" si="7"/>
        <v>0</v>
      </c>
      <c r="AC4" s="8"/>
      <c r="AD4" s="13" t="b">
        <f t="shared" si="8"/>
        <v>0</v>
      </c>
      <c r="AF4" s="8"/>
      <c r="AG4" s="13" t="b">
        <f t="shared" si="9"/>
        <v>0</v>
      </c>
      <c r="AI4" s="8" t="str">
        <f ca="1">IFERROR(__xludf.DUMMYFUNCTION("""COMPUTED_VALUE"""),"ZAIGA")</f>
        <v>ZAIGA</v>
      </c>
      <c r="AJ4" s="13" t="b">
        <f t="shared" ca="1" si="10"/>
        <v>0</v>
      </c>
      <c r="AL4" s="8" t="str">
        <f ca="1">IFERROR(__xludf.DUMMYFUNCTION("""COMPUTED_VALUE"""),"NODABA")</f>
        <v>NODABA</v>
      </c>
      <c r="AM4" s="13" t="b">
        <f t="shared" ca="1" si="11"/>
        <v>1</v>
      </c>
      <c r="AO4" s="8" t="b">
        <f ca="1">COUNTIF(Rezultāti!C:C,G4)&gt;0</f>
        <v>1</v>
      </c>
    </row>
    <row r="5" spans="1:41" hidden="1" x14ac:dyDescent="0.25">
      <c r="B5" s="8" t="str">
        <f ca="1">IF(C5="","",IF(COUNTIF(Rezultāti!C:C,C5)=0,"Labot",""))</f>
        <v/>
      </c>
      <c r="C5" s="8" t="str">
        <f t="shared" ca="1" si="0"/>
        <v/>
      </c>
      <c r="D5" s="8">
        <f t="shared" ca="1" si="1"/>
        <v>1</v>
      </c>
      <c r="E5" s="12">
        <f ca="1">IFERROR(__xludf.DUMMYFUNCTION("""COMPUTED_VALUE"""),45603.4261895138)</f>
        <v>45603.426189513797</v>
      </c>
      <c r="F5" s="8" t="str">
        <f ca="1">IFERROR(__xludf.DUMMYFUNCTION("""COMPUTED_VALUE"""),"Rīgas Valsts klasiskā ģimnāzija ")</f>
        <v xml:space="preserve">Rīgas Valsts klasiskā ģimnāzija </v>
      </c>
      <c r="G5" s="8" t="str">
        <f ca="1">IFERROR(__xludf.DUMMYFUNCTION("""COMPUTED_VALUE"""),"SonicX")</f>
        <v>SonicX</v>
      </c>
      <c r="H5" s="8" t="str">
        <f ca="1">IFERROR(__xludf.DUMMYFUNCTION("""COMPUTED_VALUE"""),"Dana Jefimova ")</f>
        <v xml:space="preserve">Dana Jefimova </v>
      </c>
      <c r="I5" s="8" t="str">
        <f ca="1">IFERROR(__xludf.DUMMYFUNCTION("""COMPUTED_VALUE"""),"Sofija Korņejeva")</f>
        <v>Sofija Korņejeva</v>
      </c>
      <c r="J5" s="8" t="str">
        <f ca="1">IFERROR(__xludf.DUMMYFUNCTION("""COMPUTED_VALUE"""),"Anna-Marija Redžepova")</f>
        <v>Anna-Marija Redžepova</v>
      </c>
      <c r="K5" s="8"/>
      <c r="L5" s="13" t="b">
        <f t="shared" si="2"/>
        <v>0</v>
      </c>
      <c r="N5" s="8" t="str">
        <f ca="1">IFERROR(__xludf.DUMMYFUNCTION("""COMPUTED_VALUE"""),"Zaiga")</f>
        <v>Zaiga</v>
      </c>
      <c r="O5" s="13" t="b">
        <f t="shared" ca="1" si="3"/>
        <v>1</v>
      </c>
      <c r="Q5" s="8"/>
      <c r="R5" s="13" t="b">
        <f t="shared" si="4"/>
        <v>0</v>
      </c>
      <c r="T5" s="8"/>
      <c r="U5" s="13" t="b">
        <f t="shared" si="5"/>
        <v>0</v>
      </c>
      <c r="W5" s="8"/>
      <c r="X5" s="13" t="b">
        <f t="shared" si="6"/>
        <v>0</v>
      </c>
      <c r="Z5" s="8"/>
      <c r="AA5" s="13" t="b">
        <f t="shared" si="7"/>
        <v>0</v>
      </c>
      <c r="AC5" s="8"/>
      <c r="AD5" s="13" t="b">
        <f t="shared" si="8"/>
        <v>0</v>
      </c>
      <c r="AF5" s="8"/>
      <c r="AG5" s="13" t="b">
        <f t="shared" si="9"/>
        <v>0</v>
      </c>
      <c r="AI5" s="8" t="str">
        <f ca="1">IFERROR(__xludf.DUMMYFUNCTION("""COMPUTED_VALUE"""),"Dinbināja")</f>
        <v>Dinbināja</v>
      </c>
      <c r="AJ5" s="13" t="b">
        <f t="shared" ca="1" si="10"/>
        <v>0</v>
      </c>
      <c r="AL5" s="8" t="str">
        <f ca="1">IFERROR(__xludf.DUMMYFUNCTION("""COMPUTED_VALUE"""),"Oskars")</f>
        <v>Oskars</v>
      </c>
      <c r="AM5" s="13" t="b">
        <f t="shared" ca="1" si="11"/>
        <v>0</v>
      </c>
      <c r="AO5" s="8" t="b">
        <f ca="1">COUNTIF(Rezultāti!C:C,G5)&gt;0</f>
        <v>1</v>
      </c>
    </row>
    <row r="6" spans="1:41" hidden="1" x14ac:dyDescent="0.25">
      <c r="B6" s="8" t="str">
        <f ca="1">IF(C6="","",IF(COUNTIF(Rezultāti!C:C,C6)=0,"Labot",""))</f>
        <v/>
      </c>
      <c r="C6" s="8" t="str">
        <f t="shared" ca="1" si="0"/>
        <v/>
      </c>
      <c r="D6" s="8">
        <f t="shared" ca="1" si="1"/>
        <v>1</v>
      </c>
      <c r="E6" s="12">
        <f ca="1">IFERROR(__xludf.DUMMYFUNCTION("""COMPUTED_VALUE"""),45603.4281779398)</f>
        <v>45603.428177939801</v>
      </c>
      <c r="F6" s="8" t="str">
        <f ca="1">IFERROR(__xludf.DUMMYFUNCTION("""COMPUTED_VALUE"""),"Rīgas Angļu ģimnāzija")</f>
        <v>Rīgas Angļu ģimnāzija</v>
      </c>
      <c r="G6" s="8" t="str">
        <f ca="1">IFERROR(__xludf.DUMMYFUNCTION("""COMPUTED_VALUE"""),"Maskačkas puzlētāji 1")</f>
        <v>Maskačkas puzlētāji 1</v>
      </c>
      <c r="H6" s="8" t="str">
        <f ca="1">IFERROR(__xludf.DUMMYFUNCTION("""COMPUTED_VALUE"""),"Renāts Strods")</f>
        <v>Renāts Strods</v>
      </c>
      <c r="I6" s="8" t="str">
        <f ca="1">IFERROR(__xludf.DUMMYFUNCTION("""COMPUTED_VALUE"""),"Linards Lazdiņš")</f>
        <v>Linards Lazdiņš</v>
      </c>
      <c r="J6" s="8" t="str">
        <f ca="1">IFERROR(__xludf.DUMMYFUNCTION("""COMPUTED_VALUE"""),"nav")</f>
        <v>nav</v>
      </c>
      <c r="K6" s="8"/>
      <c r="L6" s="13" t="b">
        <f t="shared" si="2"/>
        <v>0</v>
      </c>
      <c r="N6" s="8"/>
      <c r="O6" s="13" t="b">
        <f t="shared" si="3"/>
        <v>0</v>
      </c>
      <c r="Q6" s="8"/>
      <c r="R6" s="13" t="b">
        <f t="shared" si="4"/>
        <v>0</v>
      </c>
      <c r="T6" s="8"/>
      <c r="U6" s="13" t="b">
        <f t="shared" si="5"/>
        <v>0</v>
      </c>
      <c r="W6" s="8"/>
      <c r="X6" s="13" t="b">
        <f t="shared" si="6"/>
        <v>0</v>
      </c>
      <c r="Z6" s="8"/>
      <c r="AA6" s="13" t="b">
        <f t="shared" si="7"/>
        <v>0</v>
      </c>
      <c r="AC6" s="8"/>
      <c r="AD6" s="13" t="b">
        <f t="shared" si="8"/>
        <v>0</v>
      </c>
      <c r="AF6" s="8"/>
      <c r="AG6" s="13" t="b">
        <f t="shared" si="9"/>
        <v>0</v>
      </c>
      <c r="AI6" s="8"/>
      <c r="AJ6" s="13" t="b">
        <f t="shared" si="10"/>
        <v>0</v>
      </c>
      <c r="AL6" s="8" t="str">
        <f ca="1">IFERROR(__xludf.DUMMYFUNCTION("""COMPUTED_VALUE"""),"Nodaba")</f>
        <v>Nodaba</v>
      </c>
      <c r="AM6" s="13" t="b">
        <f t="shared" ca="1" si="11"/>
        <v>1</v>
      </c>
      <c r="AO6" s="8" t="b">
        <f ca="1">COUNTIF(Rezultāti!C:C,G6)&gt;0</f>
        <v>1</v>
      </c>
    </row>
    <row r="7" spans="1:41" hidden="1" x14ac:dyDescent="0.25">
      <c r="B7" s="8" t="str">
        <f ca="1">IF(C7="","",IF(COUNTIF(Rezultāti!C:C,C7)=0,"Labot",""))</f>
        <v/>
      </c>
      <c r="C7" s="8" t="str">
        <f t="shared" ca="1" si="0"/>
        <v/>
      </c>
      <c r="D7" s="8">
        <f t="shared" ca="1" si="1"/>
        <v>2</v>
      </c>
      <c r="E7" s="12">
        <f ca="1">IFERROR(__xludf.DUMMYFUNCTION("""COMPUTED_VALUE"""),45603.4309622569)</f>
        <v>45603.430962256898</v>
      </c>
      <c r="F7" s="8" t="str">
        <f ca="1">IFERROR(__xludf.DUMMYFUNCTION("""COMPUTED_VALUE"""),"Rīgas Angļu ģimnāzija")</f>
        <v>Rīgas Angļu ģimnāzija</v>
      </c>
      <c r="G7" s="8" t="str">
        <f ca="1">IFERROR(__xludf.DUMMYFUNCTION("""COMPUTED_VALUE"""),"Maskačkas puzlētāji 1")</f>
        <v>Maskačkas puzlētāji 1</v>
      </c>
      <c r="H7" s="8" t="str">
        <f ca="1">IFERROR(__xludf.DUMMYFUNCTION("""COMPUTED_VALUE"""),"Renāts Strods")</f>
        <v>Renāts Strods</v>
      </c>
      <c r="I7" s="8" t="str">
        <f ca="1">IFERROR(__xludf.DUMMYFUNCTION("""COMPUTED_VALUE"""),"Linards Lazdiņš")</f>
        <v>Linards Lazdiņš</v>
      </c>
      <c r="J7" s="8" t="str">
        <f ca="1">IFERROR(__xludf.DUMMYFUNCTION("""COMPUTED_VALUE"""),"nav")</f>
        <v>nav</v>
      </c>
      <c r="K7" s="8"/>
      <c r="L7" s="13" t="b">
        <f t="shared" si="2"/>
        <v>0</v>
      </c>
      <c r="N7" s="8"/>
      <c r="O7" s="13" t="b">
        <f t="shared" si="3"/>
        <v>0</v>
      </c>
      <c r="Q7" s="8"/>
      <c r="R7" s="13" t="b">
        <f t="shared" si="4"/>
        <v>0</v>
      </c>
      <c r="T7" s="8"/>
      <c r="U7" s="13" t="b">
        <f t="shared" si="5"/>
        <v>0</v>
      </c>
      <c r="W7" s="8"/>
      <c r="X7" s="13" t="b">
        <f t="shared" si="6"/>
        <v>0</v>
      </c>
      <c r="Z7" s="8"/>
      <c r="AA7" s="13" t="b">
        <f t="shared" si="7"/>
        <v>0</v>
      </c>
      <c r="AC7" s="8"/>
      <c r="AD7" s="13" t="b">
        <f t="shared" si="8"/>
        <v>0</v>
      </c>
      <c r="AF7" s="8"/>
      <c r="AG7" s="13" t="b">
        <f t="shared" si="9"/>
        <v>0</v>
      </c>
      <c r="AI7" s="8" t="str">
        <f ca="1">IFERROR(__xludf.DUMMYFUNCTION("""COMPUTED_VALUE"""),"Dibināta")</f>
        <v>Dibināta</v>
      </c>
      <c r="AJ7" s="13" t="b">
        <f t="shared" ca="1" si="10"/>
        <v>1</v>
      </c>
      <c r="AL7" s="8" t="str">
        <f ca="1">IFERROR(__xludf.DUMMYFUNCTION("""COMPUTED_VALUE"""),"Nodaba")</f>
        <v>Nodaba</v>
      </c>
      <c r="AM7" s="13" t="b">
        <f t="shared" ca="1" si="11"/>
        <v>1</v>
      </c>
      <c r="AO7" s="8" t="b">
        <f ca="1">COUNTIF(Rezultāti!C:C,G7)&gt;0</f>
        <v>1</v>
      </c>
    </row>
    <row r="8" spans="1:41" hidden="1" x14ac:dyDescent="0.25">
      <c r="B8" s="8" t="str">
        <f ca="1">IF(C8="","",IF(COUNTIF(Rezultāti!C:C,C8)=0,"Labot",""))</f>
        <v/>
      </c>
      <c r="C8" s="8" t="str">
        <f t="shared" ca="1" si="0"/>
        <v/>
      </c>
      <c r="D8" s="8">
        <f t="shared" ca="1" si="1"/>
        <v>2</v>
      </c>
      <c r="E8" s="12">
        <f ca="1">IFERROR(__xludf.DUMMYFUNCTION("""COMPUTED_VALUE"""),45603.4338575)</f>
        <v>45603.4338575</v>
      </c>
      <c r="F8" s="8" t="str">
        <f ca="1">IFERROR(__xludf.DUMMYFUNCTION("""COMPUTED_VALUE"""),"13. Vidusskola")</f>
        <v>13. Vidusskola</v>
      </c>
      <c r="G8" s="8" t="str">
        <f ca="1">IFERROR(__xludf.DUMMYFUNCTION("""COMPUTED_VALUE"""),"Komandas nosaukums")</f>
        <v>Komandas nosaukums</v>
      </c>
      <c r="H8" s="8" t="str">
        <f ca="1">IFERROR(__xludf.DUMMYFUNCTION("""COMPUTED_VALUE"""),"Ričards Čakšs")</f>
        <v>Ričards Čakšs</v>
      </c>
      <c r="I8" s="8" t="str">
        <f ca="1">IFERROR(__xludf.DUMMYFUNCTION("""COMPUTED_VALUE"""),"Normans Andrašuns")</f>
        <v>Normans Andrašuns</v>
      </c>
      <c r="J8" s="8" t="str">
        <f ca="1">IFERROR(__xludf.DUMMYFUNCTION("""COMPUTED_VALUE"""),"Romans Vlasovs ")</f>
        <v xml:space="preserve">Romans Vlasovs </v>
      </c>
      <c r="K8" s="8"/>
      <c r="L8" s="13" t="b">
        <f t="shared" si="2"/>
        <v>0</v>
      </c>
      <c r="N8" s="8" t="str">
        <f ca="1">IFERROR(__xludf.DUMMYFUNCTION("""COMPUTED_VALUE"""),"Zaiga")</f>
        <v>Zaiga</v>
      </c>
      <c r="O8" s="13" t="b">
        <f t="shared" ca="1" si="3"/>
        <v>1</v>
      </c>
      <c r="Q8" s="8"/>
      <c r="R8" s="13" t="b">
        <f t="shared" si="4"/>
        <v>0</v>
      </c>
      <c r="T8" s="8"/>
      <c r="U8" s="13" t="b">
        <f t="shared" si="5"/>
        <v>0</v>
      </c>
      <c r="W8" s="8" t="str">
        <f ca="1">IFERROR(__xludf.DUMMYFUNCTION("""COMPUTED_VALUE"""),"Tavas dzīves kvalitāti ")</f>
        <v xml:space="preserve">Tavas dzīves kvalitāti </v>
      </c>
      <c r="X8" s="13" t="b">
        <f t="shared" ca="1" si="6"/>
        <v>0</v>
      </c>
      <c r="Z8" s="8"/>
      <c r="AA8" s="13" t="b">
        <f t="shared" si="7"/>
        <v>0</v>
      </c>
      <c r="AC8" s="8"/>
      <c r="AD8" s="13" t="b">
        <f t="shared" si="8"/>
        <v>0</v>
      </c>
      <c r="AF8" s="8"/>
      <c r="AG8" s="13" t="b">
        <f t="shared" si="9"/>
        <v>0</v>
      </c>
      <c r="AI8" s="8"/>
      <c r="AJ8" s="13" t="b">
        <f t="shared" si="10"/>
        <v>0</v>
      </c>
      <c r="AL8" s="8" t="str">
        <f ca="1">IFERROR(__xludf.DUMMYFUNCTION("""COMPUTED_VALUE"""),"Nodaba")</f>
        <v>Nodaba</v>
      </c>
      <c r="AM8" s="13" t="b">
        <f t="shared" ca="1" si="11"/>
        <v>1</v>
      </c>
      <c r="AO8" s="8" t="b">
        <f ca="1">COUNTIF(Rezultāti!C:C,G8)&gt;0</f>
        <v>1</v>
      </c>
    </row>
    <row r="9" spans="1:41" hidden="1" x14ac:dyDescent="0.25">
      <c r="B9" s="8" t="str">
        <f ca="1">IF(C9="","",IF(COUNTIF(Rezultāti!C:C,C9)=0,"Labot",""))</f>
        <v/>
      </c>
      <c r="C9" s="8" t="str">
        <f t="shared" ca="1" si="0"/>
        <v/>
      </c>
      <c r="D9" s="8">
        <f t="shared" ca="1" si="1"/>
        <v>3</v>
      </c>
      <c r="E9" s="12">
        <f ca="1">IFERROR(__xludf.DUMMYFUNCTION("""COMPUTED_VALUE"""),45603.4351168171)</f>
        <v>45603.435116817098</v>
      </c>
      <c r="F9" s="8" t="str">
        <f ca="1">IFERROR(__xludf.DUMMYFUNCTION("""COMPUTED_VALUE"""),"Rīgas Angļu ģimnāzija")</f>
        <v>Rīgas Angļu ģimnāzija</v>
      </c>
      <c r="G9" s="8" t="str">
        <f ca="1">IFERROR(__xludf.DUMMYFUNCTION("""COMPUTED_VALUE"""),"Maskačkas puzlētāji 1")</f>
        <v>Maskačkas puzlētāji 1</v>
      </c>
      <c r="H9" s="8" t="str">
        <f ca="1">IFERROR(__xludf.DUMMYFUNCTION("""COMPUTED_VALUE"""),"Renāts Strods")</f>
        <v>Renāts Strods</v>
      </c>
      <c r="I9" s="8" t="str">
        <f ca="1">IFERROR(__xludf.DUMMYFUNCTION("""COMPUTED_VALUE"""),"Linards Lazdiņš")</f>
        <v>Linards Lazdiņš</v>
      </c>
      <c r="J9" s="8" t="str">
        <f ca="1">IFERROR(__xludf.DUMMYFUNCTION("""COMPUTED_VALUE"""),"nav")</f>
        <v>nav</v>
      </c>
      <c r="K9" s="8"/>
      <c r="L9" s="13" t="b">
        <f t="shared" si="2"/>
        <v>0</v>
      </c>
      <c r="N9" s="8"/>
      <c r="O9" s="13" t="b">
        <f t="shared" si="3"/>
        <v>0</v>
      </c>
      <c r="Q9" s="8"/>
      <c r="R9" s="13" t="b">
        <f t="shared" si="4"/>
        <v>0</v>
      </c>
      <c r="T9" s="8"/>
      <c r="U9" s="13" t="b">
        <f t="shared" si="5"/>
        <v>0</v>
      </c>
      <c r="W9" s="8" t="str">
        <f ca="1">IFERROR(__xludf.DUMMYFUNCTION("""COMPUTED_VALUE"""),"Rokās")</f>
        <v>Rokās</v>
      </c>
      <c r="X9" s="13" t="b">
        <f t="shared" ca="1" si="6"/>
        <v>1</v>
      </c>
      <c r="Z9" s="8"/>
      <c r="AA9" s="13" t="b">
        <f t="shared" si="7"/>
        <v>0</v>
      </c>
      <c r="AC9" s="8"/>
      <c r="AD9" s="13" t="b">
        <f t="shared" si="8"/>
        <v>0</v>
      </c>
      <c r="AF9" s="8"/>
      <c r="AG9" s="13" t="b">
        <f t="shared" si="9"/>
        <v>0</v>
      </c>
      <c r="AI9" s="8" t="str">
        <f ca="1">IFERROR(__xludf.DUMMYFUNCTION("""COMPUTED_VALUE"""),"Dibināta")</f>
        <v>Dibināta</v>
      </c>
      <c r="AJ9" s="13" t="b">
        <f t="shared" ca="1" si="10"/>
        <v>1</v>
      </c>
      <c r="AL9" s="8" t="str">
        <f ca="1">IFERROR(__xludf.DUMMYFUNCTION("""COMPUTED_VALUE"""),"Nodaba")</f>
        <v>Nodaba</v>
      </c>
      <c r="AM9" s="13" t="b">
        <f t="shared" ca="1" si="11"/>
        <v>1</v>
      </c>
      <c r="AO9" s="8" t="b">
        <f ca="1">COUNTIF(Rezultāti!C:C,G9)&gt;0</f>
        <v>1</v>
      </c>
    </row>
    <row r="10" spans="1:41" hidden="1" x14ac:dyDescent="0.25">
      <c r="B10" s="8" t="str">
        <f ca="1">IF(C10="","",IF(COUNTIF(Rezultāti!C:C,C10)=0,"Labot",""))</f>
        <v/>
      </c>
      <c r="C10" s="8" t="str">
        <f t="shared" ca="1" si="0"/>
        <v/>
      </c>
      <c r="D10" s="8">
        <f t="shared" ca="1" si="1"/>
        <v>2</v>
      </c>
      <c r="E10" s="12">
        <f ca="1">IFERROR(__xludf.DUMMYFUNCTION("""COMPUTED_VALUE"""),45603.4529992592)</f>
        <v>45603.4529992592</v>
      </c>
      <c r="F10" s="8" t="str">
        <f ca="1">IFERROR(__xludf.DUMMYFUNCTION("""COMPUTED_VALUE"""),"Rīgas Hanzas vidusskola")</f>
        <v>Rīgas Hanzas vidusskola</v>
      </c>
      <c r="G10" s="8" t="str">
        <f ca="1">IFERROR(__xludf.DUMMYFUNCTION("""COMPUTED_VALUE"""),"Marija Karija")</f>
        <v>Marija Karija</v>
      </c>
      <c r="H10" s="8" t="str">
        <f ca="1">IFERROR(__xludf.DUMMYFUNCTION("""COMPUTED_VALUE"""),"Ginta Leveika")</f>
        <v>Ginta Leveika</v>
      </c>
      <c r="I10" s="8" t="str">
        <f ca="1">IFERROR(__xludf.DUMMYFUNCTION("""COMPUTED_VALUE"""),"Marta Sīle")</f>
        <v>Marta Sīle</v>
      </c>
      <c r="J10" s="8" t="str">
        <f ca="1">IFERROR(__xludf.DUMMYFUNCTION("""COMPUTED_VALUE"""),"Bekija Anete Daukšte")</f>
        <v>Bekija Anete Daukšte</v>
      </c>
      <c r="K10" s="8"/>
      <c r="L10" s="13" t="b">
        <f t="shared" si="2"/>
        <v>0</v>
      </c>
      <c r="N10" s="8" t="str">
        <f ca="1">IFERROR(__xludf.DUMMYFUNCTION("""COMPUTED_VALUE"""),"Zaiga")</f>
        <v>Zaiga</v>
      </c>
      <c r="O10" s="13" t="b">
        <f t="shared" ca="1" si="3"/>
        <v>1</v>
      </c>
      <c r="Q10" s="8"/>
      <c r="R10" s="13" t="b">
        <f t="shared" si="4"/>
        <v>0</v>
      </c>
      <c r="T10" s="8"/>
      <c r="U10" s="13" t="b">
        <f t="shared" si="5"/>
        <v>0</v>
      </c>
      <c r="W10" s="8" t="str">
        <f ca="1">IFERROR(__xludf.DUMMYFUNCTION("""COMPUTED_VALUE"""),"Rokās")</f>
        <v>Rokās</v>
      </c>
      <c r="X10" s="13" t="b">
        <f t="shared" ca="1" si="6"/>
        <v>1</v>
      </c>
      <c r="Z10" s="8"/>
      <c r="AA10" s="13" t="b">
        <f t="shared" si="7"/>
        <v>0</v>
      </c>
      <c r="AC10" s="8"/>
      <c r="AD10" s="13" t="b">
        <f t="shared" si="8"/>
        <v>0</v>
      </c>
      <c r="AF10" s="8"/>
      <c r="AG10" s="13" t="b">
        <f t="shared" si="9"/>
        <v>0</v>
      </c>
      <c r="AI10" s="8"/>
      <c r="AJ10" s="13" t="b">
        <f t="shared" si="10"/>
        <v>0</v>
      </c>
      <c r="AL10" s="8"/>
      <c r="AM10" s="13" t="b">
        <f t="shared" si="11"/>
        <v>0</v>
      </c>
      <c r="AO10" s="8" t="b">
        <f ca="1">COUNTIF(Rezultāti!C:C,G10)&gt;0</f>
        <v>0</v>
      </c>
    </row>
    <row r="11" spans="1:41" hidden="1" x14ac:dyDescent="0.25">
      <c r="B11" s="8" t="str">
        <f ca="1">IF(C11="","",IF(COUNTIF(Rezultāti!C:C,C11)=0,"Labot",""))</f>
        <v/>
      </c>
      <c r="C11" s="8" t="str">
        <f t="shared" ca="1" si="0"/>
        <v/>
      </c>
      <c r="D11" s="8">
        <f t="shared" ca="1" si="1"/>
        <v>1</v>
      </c>
      <c r="E11" s="12">
        <f ca="1">IFERROR(__xludf.DUMMYFUNCTION("""COMPUTED_VALUE"""),45603.4532963541)</f>
        <v>45603.453296354099</v>
      </c>
      <c r="F11" s="8" t="str">
        <f ca="1">IFERROR(__xludf.DUMMYFUNCTION("""COMPUTED_VALUE"""),"Rīgas Valsts Vācu ģimnāzija ")</f>
        <v xml:space="preserve">Rīgas Valsts Vācu ģimnāzija </v>
      </c>
      <c r="G11" s="8" t="str">
        <f ca="1">IFERROR(__xludf.DUMMYFUNCTION("""COMPUTED_VALUE"""),"MAP")</f>
        <v>MAP</v>
      </c>
      <c r="H11" s="8" t="str">
        <f ca="1">IFERROR(__xludf.DUMMYFUNCTION("""COMPUTED_VALUE"""),"Maija Seratinska")</f>
        <v>Maija Seratinska</v>
      </c>
      <c r="I11" s="8" t="str">
        <f ca="1">IFERROR(__xludf.DUMMYFUNCTION("""COMPUTED_VALUE"""),"Adele Irbe Zeidaka")</f>
        <v>Adele Irbe Zeidaka</v>
      </c>
      <c r="J11" s="8" t="str">
        <f ca="1">IFERROR(__xludf.DUMMYFUNCTION("""COMPUTED_VALUE"""),"Pauls Ādamsons")</f>
        <v>Pauls Ādamsons</v>
      </c>
      <c r="K11" s="8"/>
      <c r="L11" s="13" t="b">
        <f t="shared" si="2"/>
        <v>0</v>
      </c>
      <c r="N11" s="8"/>
      <c r="O11" s="13" t="b">
        <f t="shared" si="3"/>
        <v>0</v>
      </c>
      <c r="Q11" s="8"/>
      <c r="R11" s="13" t="b">
        <f t="shared" si="4"/>
        <v>0</v>
      </c>
      <c r="T11" s="8"/>
      <c r="U11" s="13" t="b">
        <f t="shared" si="5"/>
        <v>0</v>
      </c>
      <c r="W11" s="8"/>
      <c r="X11" s="13" t="b">
        <f t="shared" si="6"/>
        <v>0</v>
      </c>
      <c r="Z11" s="8"/>
      <c r="AA11" s="13" t="b">
        <f t="shared" si="7"/>
        <v>0</v>
      </c>
      <c r="AC11" s="8"/>
      <c r="AD11" s="13" t="b">
        <f t="shared" si="8"/>
        <v>0</v>
      </c>
      <c r="AF11" s="8"/>
      <c r="AG11" s="13" t="b">
        <f t="shared" si="9"/>
        <v>0</v>
      </c>
      <c r="AI11" s="8"/>
      <c r="AJ11" s="13" t="b">
        <f t="shared" si="10"/>
        <v>0</v>
      </c>
      <c r="AL11" s="8" t="str">
        <f ca="1">IFERROR(__xludf.DUMMYFUNCTION("""COMPUTED_VALUE"""),"Nodaba")</f>
        <v>Nodaba</v>
      </c>
      <c r="AM11" s="13" t="b">
        <f t="shared" ca="1" si="11"/>
        <v>1</v>
      </c>
      <c r="AO11" s="8" t="b">
        <f ca="1">COUNTIF(Rezultāti!C:C,G11)&gt;0</f>
        <v>1</v>
      </c>
    </row>
    <row r="12" spans="1:41" x14ac:dyDescent="0.25">
      <c r="B12" s="8" t="str">
        <f ca="1">IF(C12="","",IF(COUNTIF(Rezultāti!C:C,C12)=0,"Labot",""))</f>
        <v/>
      </c>
      <c r="C12" s="8" t="str">
        <f t="shared" ca="1" si="0"/>
        <v>Komandas nosaukums</v>
      </c>
      <c r="D12" s="8">
        <f t="shared" ca="1" si="1"/>
        <v>4</v>
      </c>
      <c r="E12" s="12">
        <f ca="1">IFERROR(__xludf.DUMMYFUNCTION("""COMPUTED_VALUE"""),45603.4537959375)</f>
        <v>45603.453795937501</v>
      </c>
      <c r="F12" s="8" t="str">
        <f ca="1">IFERROR(__xludf.DUMMYFUNCTION("""COMPUTED_VALUE"""),"Rīgas 13. Vidusskola ")</f>
        <v xml:space="preserve">Rīgas 13. Vidusskola </v>
      </c>
      <c r="G12" s="8" t="str">
        <f ca="1">IFERROR(__xludf.DUMMYFUNCTION("""COMPUTED_VALUE"""),"Komandas nosaukums")</f>
        <v>Komandas nosaukums</v>
      </c>
      <c r="H12" s="8" t="str">
        <f ca="1">IFERROR(__xludf.DUMMYFUNCTION("""COMPUTED_VALUE"""),"Ričards Čakšs ")</f>
        <v xml:space="preserve">Ričards Čakšs </v>
      </c>
      <c r="I12" s="8" t="str">
        <f ca="1">IFERROR(__xludf.DUMMYFUNCTION("""COMPUTED_VALUE"""),"Normans Andrašuns ")</f>
        <v xml:space="preserve">Normans Andrašuns </v>
      </c>
      <c r="J12" s="8" t="str">
        <f ca="1">IFERROR(__xludf.DUMMYFUNCTION("""COMPUTED_VALUE"""),"Romans Vlasovs ")</f>
        <v xml:space="preserve">Romans Vlasovs </v>
      </c>
      <c r="K12" s="8"/>
      <c r="L12" s="13" t="b">
        <f t="shared" si="2"/>
        <v>0</v>
      </c>
      <c r="N12" s="8" t="str">
        <f ca="1">IFERROR(__xludf.DUMMYFUNCTION("""COMPUTED_VALUE"""),"Zaiga")</f>
        <v>Zaiga</v>
      </c>
      <c r="O12" s="13" t="b">
        <f t="shared" ca="1" si="3"/>
        <v>1</v>
      </c>
      <c r="Q12" s="8"/>
      <c r="R12" s="13" t="b">
        <f t="shared" si="4"/>
        <v>0</v>
      </c>
      <c r="T12" s="8"/>
      <c r="U12" s="13" t="b">
        <f t="shared" si="5"/>
        <v>0</v>
      </c>
      <c r="W12" s="8" t="str">
        <f ca="1">IFERROR(__xludf.DUMMYFUNCTION("""COMPUTED_VALUE"""),"Rokās ")</f>
        <v xml:space="preserve">Rokās </v>
      </c>
      <c r="X12" s="13" t="b">
        <f t="shared" ca="1" si="6"/>
        <v>0</v>
      </c>
      <c r="Y12" s="7" t="b">
        <v>1</v>
      </c>
      <c r="Z12" s="8"/>
      <c r="AA12" s="13" t="b">
        <f t="shared" si="7"/>
        <v>0</v>
      </c>
      <c r="AC12" s="8"/>
      <c r="AD12" s="13" t="b">
        <f t="shared" si="8"/>
        <v>0</v>
      </c>
      <c r="AF12" s="8"/>
      <c r="AG12" s="13" t="b">
        <f t="shared" si="9"/>
        <v>0</v>
      </c>
      <c r="AI12" s="8" t="str">
        <f ca="1">IFERROR(__xludf.DUMMYFUNCTION("""COMPUTED_VALUE"""),"Dibināta")</f>
        <v>Dibināta</v>
      </c>
      <c r="AJ12" s="13" t="b">
        <f t="shared" ca="1" si="10"/>
        <v>1</v>
      </c>
      <c r="AL12" s="8" t="str">
        <f ca="1">IFERROR(__xludf.DUMMYFUNCTION("""COMPUTED_VALUE"""),"Nodaba")</f>
        <v>Nodaba</v>
      </c>
      <c r="AM12" s="13" t="b">
        <f t="shared" ca="1" si="11"/>
        <v>1</v>
      </c>
      <c r="AO12" s="8" t="b">
        <f ca="1">COUNTIF(Rezultāti!C:C,G12)&gt;0</f>
        <v>1</v>
      </c>
    </row>
    <row r="13" spans="1:41" hidden="1" x14ac:dyDescent="0.25">
      <c r="B13" s="8" t="str">
        <f ca="1">IF(C13="","",IF(COUNTIF(Rezultāti!C:C,C13)=0,"Labot",""))</f>
        <v>Labot</v>
      </c>
      <c r="C13" s="8" t="str">
        <f t="shared" ca="1" si="0"/>
        <v xml:space="preserve">SonicX </v>
      </c>
      <c r="D13" s="8">
        <f t="shared" ca="1" si="1"/>
        <v>1</v>
      </c>
      <c r="E13" s="12">
        <f ca="1">IFERROR(__xludf.DUMMYFUNCTION("""COMPUTED_VALUE"""),45603.4539316666)</f>
        <v>45603.453931666598</v>
      </c>
      <c r="F13" s="8" t="str">
        <f ca="1">IFERROR(__xludf.DUMMYFUNCTION("""COMPUTED_VALUE"""),"Rīgas Valsts klasiskā ģimnāzija ")</f>
        <v xml:space="preserve">Rīgas Valsts klasiskā ģimnāzija </v>
      </c>
      <c r="G13" s="8" t="str">
        <f ca="1">IFERROR(__xludf.DUMMYFUNCTION("""COMPUTED_VALUE"""),"SonicX ")</f>
        <v xml:space="preserve">SonicX </v>
      </c>
      <c r="H13" s="8" t="str">
        <f ca="1">IFERROR(__xludf.DUMMYFUNCTION("""COMPUTED_VALUE"""),"Dana Jefimova ")</f>
        <v xml:space="preserve">Dana Jefimova </v>
      </c>
      <c r="I13" s="8" t="str">
        <f ca="1">IFERROR(__xludf.DUMMYFUNCTION("""COMPUTED_VALUE"""),"Sofija Korņejeva ")</f>
        <v xml:space="preserve">Sofija Korņejeva </v>
      </c>
      <c r="J13" s="8" t="str">
        <f ca="1">IFERROR(__xludf.DUMMYFUNCTION("""COMPUTED_VALUE"""),"Anna-Marija Redžepova ")</f>
        <v xml:space="preserve">Anna-Marija Redžepova </v>
      </c>
      <c r="K13" s="8"/>
      <c r="L13" s="13" t="b">
        <f t="shared" si="2"/>
        <v>0</v>
      </c>
      <c r="N13" s="8" t="str">
        <f ca="1">IFERROR(__xludf.DUMMYFUNCTION("""COMPUTED_VALUE"""),"Zaiga")</f>
        <v>Zaiga</v>
      </c>
      <c r="O13" s="13" t="b">
        <f t="shared" ca="1" si="3"/>
        <v>1</v>
      </c>
      <c r="Q13" s="8"/>
      <c r="R13" s="13" t="b">
        <f t="shared" si="4"/>
        <v>0</v>
      </c>
      <c r="T13" s="8" t="str">
        <f ca="1">IFERROR(__xludf.DUMMYFUNCTION("""COMPUTED_VALUE"""),"Tetris")</f>
        <v>Tetris</v>
      </c>
      <c r="U13" s="13" t="b">
        <f t="shared" ca="1" si="5"/>
        <v>0</v>
      </c>
      <c r="W13" s="8"/>
      <c r="X13" s="13" t="b">
        <f t="shared" si="6"/>
        <v>0</v>
      </c>
      <c r="Z13" s="8"/>
      <c r="AA13" s="13" t="b">
        <f t="shared" si="7"/>
        <v>0</v>
      </c>
      <c r="AC13" s="8"/>
      <c r="AD13" s="13" t="b">
        <f t="shared" si="8"/>
        <v>0</v>
      </c>
      <c r="AF13" s="8"/>
      <c r="AG13" s="13" t="b">
        <f t="shared" si="9"/>
        <v>0</v>
      </c>
      <c r="AI13" s="8" t="str">
        <f ca="1">IFERROR(__xludf.DUMMYFUNCTION("""COMPUTED_VALUE"""),"Dibināja")</f>
        <v>Dibināja</v>
      </c>
      <c r="AJ13" s="13" t="b">
        <f t="shared" ca="1" si="10"/>
        <v>0</v>
      </c>
      <c r="AL13" s="8" t="str">
        <f ca="1">IFERROR(__xludf.DUMMYFUNCTION("""COMPUTED_VALUE"""),"Oskars ")</f>
        <v xml:space="preserve">Oskars </v>
      </c>
      <c r="AM13" s="13" t="b">
        <f t="shared" ca="1" si="11"/>
        <v>0</v>
      </c>
      <c r="AO13" s="8" t="b">
        <f ca="1">COUNTIF(Rezultāti!C:C,G13)&gt;0</f>
        <v>0</v>
      </c>
    </row>
    <row r="14" spans="1:41" hidden="1" x14ac:dyDescent="0.25">
      <c r="B14" s="8" t="str">
        <f ca="1">IF(C14="","",IF(COUNTIF(Rezultāti!C:C,C14)=0,"Labot",""))</f>
        <v/>
      </c>
      <c r="C14" s="8" t="str">
        <f t="shared" ca="1" si="0"/>
        <v/>
      </c>
      <c r="D14" s="8">
        <f t="shared" ca="1" si="1"/>
        <v>1</v>
      </c>
      <c r="E14" s="12">
        <f ca="1">IFERROR(__xludf.DUMMYFUNCTION("""COMPUTED_VALUE"""),45603.4547835532)</f>
        <v>45603.454783553199</v>
      </c>
      <c r="F14" s="8" t="str">
        <f ca="1">IFERROR(__xludf.DUMMYFUNCTION("""COMPUTED_VALUE"""),"Rīgas Valsts vācu ģimnāzija ")</f>
        <v xml:space="preserve">Rīgas Valsts vācu ģimnāzija </v>
      </c>
      <c r="G14" s="8" t="str">
        <f ca="1">IFERROR(__xludf.DUMMYFUNCTION("""COMPUTED_VALUE"""),"MAP")</f>
        <v>MAP</v>
      </c>
      <c r="H14" s="8" t="str">
        <f ca="1">IFERROR(__xludf.DUMMYFUNCTION("""COMPUTED_VALUE"""),"Maija Seratinska ")</f>
        <v xml:space="preserve">Maija Seratinska </v>
      </c>
      <c r="I14" s="8" t="str">
        <f ca="1">IFERROR(__xludf.DUMMYFUNCTION("""COMPUTED_VALUE"""),"Adele Irbe Zeidaka")</f>
        <v>Adele Irbe Zeidaka</v>
      </c>
      <c r="J14" s="8" t="str">
        <f ca="1">IFERROR(__xludf.DUMMYFUNCTION("""COMPUTED_VALUE"""),"Pauls Ādamsons ")</f>
        <v xml:space="preserve">Pauls Ādamsons </v>
      </c>
      <c r="K14" s="8"/>
      <c r="L14" s="13" t="b">
        <f t="shared" si="2"/>
        <v>0</v>
      </c>
      <c r="N14" s="8"/>
      <c r="O14" s="13" t="b">
        <f t="shared" si="3"/>
        <v>0</v>
      </c>
      <c r="Q14" s="8"/>
      <c r="R14" s="13" t="b">
        <f t="shared" si="4"/>
        <v>0</v>
      </c>
      <c r="T14" s="8"/>
      <c r="U14" s="13" t="b">
        <f t="shared" si="5"/>
        <v>0</v>
      </c>
      <c r="W14" s="8"/>
      <c r="X14" s="13" t="b">
        <f t="shared" si="6"/>
        <v>0</v>
      </c>
      <c r="Z14" s="8"/>
      <c r="AA14" s="13" t="b">
        <f t="shared" si="7"/>
        <v>0</v>
      </c>
      <c r="AC14" s="8" t="str">
        <f ca="1">IFERROR(__xludf.DUMMYFUNCTION("""COMPUTED_VALUE"""),"SALATE")</f>
        <v>SALATE</v>
      </c>
      <c r="AD14" s="13" t="b">
        <f t="shared" ca="1" si="8"/>
        <v>1</v>
      </c>
      <c r="AF14" s="8"/>
      <c r="AG14" s="13" t="b">
        <f t="shared" si="9"/>
        <v>0</v>
      </c>
      <c r="AI14" s="8"/>
      <c r="AJ14" s="13" t="b">
        <f t="shared" si="10"/>
        <v>0</v>
      </c>
      <c r="AL14" s="8"/>
      <c r="AM14" s="13" t="b">
        <f t="shared" si="11"/>
        <v>0</v>
      </c>
      <c r="AO14" s="8" t="b">
        <f ca="1">COUNTIF(Rezultāti!C:C,G14)&gt;0</f>
        <v>1</v>
      </c>
    </row>
    <row r="15" spans="1:41" hidden="1" x14ac:dyDescent="0.25">
      <c r="B15" s="8" t="str">
        <f ca="1">IF(C15="","",IF(COUNTIF(Rezultāti!C:C,C15)=0,"Labot",""))</f>
        <v/>
      </c>
      <c r="C15" s="8" t="str">
        <f t="shared" ca="1" si="0"/>
        <v/>
      </c>
      <c r="D15" s="8">
        <f t="shared" ca="1" si="1"/>
        <v>1</v>
      </c>
      <c r="E15" s="12">
        <f ca="1">IFERROR(__xludf.DUMMYFUNCTION("""COMPUTED_VALUE"""),45603.4589761226)</f>
        <v>45603.458976122602</v>
      </c>
      <c r="F15" s="8" t="str">
        <f ca="1">IFERROR(__xludf.DUMMYFUNCTION("""COMPUTED_VALUE"""),"Rīgas Valsts vācu ģimnāzija ")</f>
        <v xml:space="preserve">Rīgas Valsts vācu ģimnāzija </v>
      </c>
      <c r="G15" s="8" t="str">
        <f ca="1">IFERROR(__xludf.DUMMYFUNCTION("""COMPUTED_VALUE"""),"MAP")</f>
        <v>MAP</v>
      </c>
      <c r="H15" s="8" t="str">
        <f ca="1">IFERROR(__xludf.DUMMYFUNCTION("""COMPUTED_VALUE"""),"Maija Seratinaka")</f>
        <v>Maija Seratinaka</v>
      </c>
      <c r="I15" s="8" t="str">
        <f ca="1">IFERROR(__xludf.DUMMYFUNCTION("""COMPUTED_VALUE"""),"Adele Irbe Zeidaka")</f>
        <v>Adele Irbe Zeidaka</v>
      </c>
      <c r="J15" s="8" t="str">
        <f ca="1">IFERROR(__xludf.DUMMYFUNCTION("""COMPUTED_VALUE"""),"Pauls Ādamsons ")</f>
        <v xml:space="preserve">Pauls Ādamsons </v>
      </c>
      <c r="K15" s="8"/>
      <c r="L15" s="13" t="b">
        <f t="shared" si="2"/>
        <v>0</v>
      </c>
      <c r="N15" s="8"/>
      <c r="O15" s="13" t="b">
        <f t="shared" si="3"/>
        <v>0</v>
      </c>
      <c r="Q15" s="8"/>
      <c r="R15" s="13" t="b">
        <f t="shared" si="4"/>
        <v>0</v>
      </c>
      <c r="T15" s="8"/>
      <c r="U15" s="13" t="b">
        <f t="shared" si="5"/>
        <v>0</v>
      </c>
      <c r="W15" s="8" t="str">
        <f ca="1">IFERROR(__xludf.DUMMYFUNCTION("""COMPUTED_VALUE"""),"Rokās")</f>
        <v>Rokās</v>
      </c>
      <c r="X15" s="13" t="b">
        <f t="shared" ca="1" si="6"/>
        <v>1</v>
      </c>
      <c r="Z15" s="8"/>
      <c r="AA15" s="13" t="b">
        <f t="shared" si="7"/>
        <v>0</v>
      </c>
      <c r="AC15" s="8"/>
      <c r="AD15" s="13" t="b">
        <f t="shared" si="8"/>
        <v>0</v>
      </c>
      <c r="AF15" s="8"/>
      <c r="AG15" s="13" t="b">
        <f t="shared" si="9"/>
        <v>0</v>
      </c>
      <c r="AI15" s="8"/>
      <c r="AJ15" s="13" t="b">
        <f t="shared" si="10"/>
        <v>0</v>
      </c>
      <c r="AL15" s="8"/>
      <c r="AM15" s="13" t="b">
        <f t="shared" si="11"/>
        <v>0</v>
      </c>
      <c r="AO15" s="8" t="b">
        <f ca="1">COUNTIF(Rezultāti!C:C,G15)&gt;0</f>
        <v>1</v>
      </c>
    </row>
    <row r="16" spans="1:41" hidden="1" x14ac:dyDescent="0.25">
      <c r="B16" s="8" t="str">
        <f ca="1">IF(C16="","",IF(COUNTIF(Rezultāti!C:C,C16)=0,"Labot",""))</f>
        <v/>
      </c>
      <c r="C16" s="8" t="str">
        <f t="shared" ca="1" si="0"/>
        <v/>
      </c>
      <c r="D16" s="8">
        <f t="shared" ca="1" si="1"/>
        <v>1</v>
      </c>
      <c r="E16" s="12">
        <f ca="1">IFERROR(__xludf.DUMMYFUNCTION("""COMPUTED_VALUE"""),45603.466604074)</f>
        <v>45603.466604073998</v>
      </c>
      <c r="F16" s="8" t="str">
        <f ca="1">IFERROR(__xludf.DUMMYFUNCTION("""COMPUTED_VALUE"""),"Rīgas Valsts vācu ģimnāzija")</f>
        <v>Rīgas Valsts vācu ģimnāzija</v>
      </c>
      <c r="G16" s="8" t="str">
        <f ca="1">IFERROR(__xludf.DUMMYFUNCTION("""COMPUTED_VALUE"""),"MAP")</f>
        <v>MAP</v>
      </c>
      <c r="H16" s="8" t="str">
        <f ca="1">IFERROR(__xludf.DUMMYFUNCTION("""COMPUTED_VALUE"""),"Maija Seratinska")</f>
        <v>Maija Seratinska</v>
      </c>
      <c r="I16" s="8" t="str">
        <f ca="1">IFERROR(__xludf.DUMMYFUNCTION("""COMPUTED_VALUE"""),"Adele Irbe Zeidaka")</f>
        <v>Adele Irbe Zeidaka</v>
      </c>
      <c r="J16" s="8" t="str">
        <f ca="1">IFERROR(__xludf.DUMMYFUNCTION("""COMPUTED_VALUE"""),"Pauls Ādamsons ")</f>
        <v xml:space="preserve">Pauls Ādamsons </v>
      </c>
      <c r="K16" s="8"/>
      <c r="L16" s="13" t="b">
        <f t="shared" si="2"/>
        <v>0</v>
      </c>
      <c r="N16" s="8"/>
      <c r="O16" s="13" t="b">
        <f t="shared" si="3"/>
        <v>0</v>
      </c>
      <c r="Q16" s="8"/>
      <c r="R16" s="13" t="b">
        <f t="shared" si="4"/>
        <v>0</v>
      </c>
      <c r="T16" s="8"/>
      <c r="U16" s="13" t="b">
        <f t="shared" si="5"/>
        <v>0</v>
      </c>
      <c r="W16" s="8"/>
      <c r="X16" s="13" t="b">
        <f t="shared" si="6"/>
        <v>0</v>
      </c>
      <c r="Z16" s="8"/>
      <c r="AA16" s="13" t="b">
        <f t="shared" si="7"/>
        <v>0</v>
      </c>
      <c r="AC16" s="8"/>
      <c r="AD16" s="13" t="b">
        <f t="shared" si="8"/>
        <v>0</v>
      </c>
      <c r="AF16" s="8"/>
      <c r="AG16" s="13" t="b">
        <f t="shared" si="9"/>
        <v>0</v>
      </c>
      <c r="AI16" s="8" t="str">
        <f ca="1">IFERROR(__xludf.DUMMYFUNCTION("""COMPUTED_VALUE"""),"Dibināta")</f>
        <v>Dibināta</v>
      </c>
      <c r="AJ16" s="13" t="b">
        <f t="shared" ca="1" si="10"/>
        <v>1</v>
      </c>
      <c r="AL16" s="8"/>
      <c r="AM16" s="13" t="b">
        <f t="shared" si="11"/>
        <v>0</v>
      </c>
      <c r="AO16" s="8" t="b">
        <f ca="1">COUNTIF(Rezultāti!C:C,G16)&gt;0</f>
        <v>1</v>
      </c>
    </row>
    <row r="17" spans="2:41" hidden="1" x14ac:dyDescent="0.25">
      <c r="B17" s="8" t="str">
        <f ca="1">IF(C17="","",IF(COUNTIF(Rezultāti!C:C,C17)=0,"Labot",""))</f>
        <v/>
      </c>
      <c r="C17" s="8" t="str">
        <f t="shared" ca="1" si="0"/>
        <v/>
      </c>
      <c r="D17" s="8">
        <f t="shared" ca="1" si="1"/>
        <v>4</v>
      </c>
      <c r="E17" s="12">
        <f ca="1">IFERROR(__xludf.DUMMYFUNCTION("""COMPUTED_VALUE"""),45603.4677580902)</f>
        <v>45603.467758090199</v>
      </c>
      <c r="F17" s="8" t="str">
        <f ca="1">IFERROR(__xludf.DUMMYFUNCTION("""COMPUTED_VALUE"""),"Rīgas Angļu ģimnāzija")</f>
        <v>Rīgas Angļu ģimnāzija</v>
      </c>
      <c r="G17" s="8" t="str">
        <f ca="1">IFERROR(__xludf.DUMMYFUNCTION("""COMPUTED_VALUE"""),"Maskačkas puzlētāji 1")</f>
        <v>Maskačkas puzlētāji 1</v>
      </c>
      <c r="H17" s="8" t="str">
        <f ca="1">IFERROR(__xludf.DUMMYFUNCTION("""COMPUTED_VALUE"""),"Renāts Strods")</f>
        <v>Renāts Strods</v>
      </c>
      <c r="I17" s="8" t="str">
        <f ca="1">IFERROR(__xludf.DUMMYFUNCTION("""COMPUTED_VALUE"""),"Linards Lazdiņš")</f>
        <v>Linards Lazdiņš</v>
      </c>
      <c r="J17" s="8" t="str">
        <f ca="1">IFERROR(__xludf.DUMMYFUNCTION("""COMPUTED_VALUE"""),"nav")</f>
        <v>nav</v>
      </c>
      <c r="K17" s="8"/>
      <c r="L17" s="13" t="b">
        <f t="shared" si="2"/>
        <v>0</v>
      </c>
      <c r="N17" s="8" t="str">
        <f ca="1">IFERROR(__xludf.DUMMYFUNCTION("""COMPUTED_VALUE"""),"Zaiga")</f>
        <v>Zaiga</v>
      </c>
      <c r="O17" s="13" t="b">
        <f t="shared" ca="1" si="3"/>
        <v>1</v>
      </c>
      <c r="Q17" s="8"/>
      <c r="R17" s="13" t="b">
        <f t="shared" si="4"/>
        <v>0</v>
      </c>
      <c r="T17" s="8"/>
      <c r="U17" s="13" t="b">
        <f t="shared" si="5"/>
        <v>0</v>
      </c>
      <c r="W17" s="8" t="str">
        <f ca="1">IFERROR(__xludf.DUMMYFUNCTION("""COMPUTED_VALUE"""),"Rokās")</f>
        <v>Rokās</v>
      </c>
      <c r="X17" s="13" t="b">
        <f t="shared" ca="1" si="6"/>
        <v>1</v>
      </c>
      <c r="Z17" s="8" t="str">
        <f ca="1">IFERROR(__xludf.DUMMYFUNCTION("""COMPUTED_VALUE"""),"Bīskapijas")</f>
        <v>Bīskapijas</v>
      </c>
      <c r="AA17" s="13" t="b">
        <f t="shared" ca="1" si="7"/>
        <v>0</v>
      </c>
      <c r="AC17" s="8"/>
      <c r="AD17" s="13" t="b">
        <f t="shared" si="8"/>
        <v>0</v>
      </c>
      <c r="AF17" s="8"/>
      <c r="AG17" s="13" t="b">
        <f t="shared" si="9"/>
        <v>0</v>
      </c>
      <c r="AI17" s="8" t="str">
        <f ca="1">IFERROR(__xludf.DUMMYFUNCTION("""COMPUTED_VALUE"""),"Dibināta")</f>
        <v>Dibināta</v>
      </c>
      <c r="AJ17" s="13" t="b">
        <f t="shared" ca="1" si="10"/>
        <v>1</v>
      </c>
      <c r="AL17" s="8" t="str">
        <f ca="1">IFERROR(__xludf.DUMMYFUNCTION("""COMPUTED_VALUE"""),"Nodaba")</f>
        <v>Nodaba</v>
      </c>
      <c r="AM17" s="13" t="b">
        <f t="shared" ca="1" si="11"/>
        <v>1</v>
      </c>
      <c r="AO17" s="8" t="b">
        <f ca="1">COUNTIF(Rezultāti!C:C,G17)&gt;0</f>
        <v>1</v>
      </c>
    </row>
    <row r="18" spans="2:41" hidden="1" x14ac:dyDescent="0.25">
      <c r="B18" s="8" t="str">
        <f ca="1">IF(C18="","",IF(COUNTIF(Rezultāti!C:C,C18)=0,"Labot",""))</f>
        <v/>
      </c>
      <c r="C18" s="8" t="str">
        <f t="shared" ca="1" si="0"/>
        <v/>
      </c>
      <c r="D18" s="8">
        <f t="shared" ca="1" si="1"/>
        <v>2</v>
      </c>
      <c r="E18" s="12">
        <f ca="1">IFERROR(__xludf.DUMMYFUNCTION("""COMPUTED_VALUE"""),45603.4686116319)</f>
        <v>45603.468611631899</v>
      </c>
      <c r="F18" s="8" t="str">
        <f ca="1">IFERROR(__xludf.DUMMYFUNCTION("""COMPUTED_VALUE"""),"Rīgas Centra humanitārā vidudskola")</f>
        <v>Rīgas Centra humanitārā vidudskola</v>
      </c>
      <c r="G18" s="8" t="str">
        <f ca="1">IFERROR(__xludf.DUMMYFUNCTION("""COMPUTED_VALUE"""),"Gandrīz izglītotā armija")</f>
        <v>Gandrīz izglītotā armija</v>
      </c>
      <c r="H18" s="8" t="str">
        <f ca="1">IFERROR(__xludf.DUMMYFUNCTION("""COMPUTED_VALUE"""),"Lelde Katrīna Prikule")</f>
        <v>Lelde Katrīna Prikule</v>
      </c>
      <c r="I18" s="8" t="str">
        <f ca="1">IFERROR(__xludf.DUMMYFUNCTION("""COMPUTED_VALUE"""),"Ernests Pabērzs")</f>
        <v>Ernests Pabērzs</v>
      </c>
      <c r="J18" s="8" t="str">
        <f ca="1">IFERROR(__xludf.DUMMYFUNCTION("""COMPUTED_VALUE"""),"Viesturs Runts")</f>
        <v>Viesturs Runts</v>
      </c>
      <c r="K18" s="8"/>
      <c r="L18" s="13" t="b">
        <f t="shared" si="2"/>
        <v>0</v>
      </c>
      <c r="N18" s="8"/>
      <c r="O18" s="13" t="b">
        <f t="shared" si="3"/>
        <v>0</v>
      </c>
      <c r="Q18" s="8"/>
      <c r="R18" s="13" t="b">
        <f t="shared" si="4"/>
        <v>0</v>
      </c>
      <c r="T18" s="8"/>
      <c r="U18" s="13" t="b">
        <f t="shared" si="5"/>
        <v>0</v>
      </c>
      <c r="W18" s="8" t="str">
        <f ca="1">IFERROR(__xludf.DUMMYFUNCTION("""COMPUTED_VALUE"""),"rokās")</f>
        <v>rokās</v>
      </c>
      <c r="X18" s="13" t="b">
        <f t="shared" ca="1" si="6"/>
        <v>1</v>
      </c>
      <c r="Z18" s="8"/>
      <c r="AA18" s="13" t="b">
        <f t="shared" si="7"/>
        <v>0</v>
      </c>
      <c r="AC18" s="8"/>
      <c r="AD18" s="13" t="b">
        <f t="shared" si="8"/>
        <v>0</v>
      </c>
      <c r="AF18" s="8" t="str">
        <f ca="1">IFERROR(__xludf.DUMMYFUNCTION("""COMPUTED_VALUE"""),"kļūda")</f>
        <v>kļūda</v>
      </c>
      <c r="AG18" s="13" t="b">
        <f t="shared" ca="1" si="9"/>
        <v>0</v>
      </c>
      <c r="AI18" s="8"/>
      <c r="AJ18" s="13" t="b">
        <f t="shared" si="10"/>
        <v>0</v>
      </c>
      <c r="AL18" s="8" t="str">
        <f ca="1">IFERROR(__xludf.DUMMYFUNCTION("""COMPUTED_VALUE"""),"nodaba")</f>
        <v>nodaba</v>
      </c>
      <c r="AM18" s="13" t="b">
        <f t="shared" ca="1" si="11"/>
        <v>1</v>
      </c>
      <c r="AO18" s="8" t="b">
        <f ca="1">COUNTIF(Rezultāti!C:C,G18)&gt;0</f>
        <v>1</v>
      </c>
    </row>
    <row r="19" spans="2:41" hidden="1" x14ac:dyDescent="0.25">
      <c r="B19" s="8" t="str">
        <f ca="1">IF(C19="","",IF(COUNTIF(Rezultāti!C:C,C19)=0,"Labot",""))</f>
        <v/>
      </c>
      <c r="C19" s="8" t="str">
        <f t="shared" ca="1" si="0"/>
        <v/>
      </c>
      <c r="D19" s="8">
        <f t="shared" ca="1" si="1"/>
        <v>4</v>
      </c>
      <c r="E19" s="12">
        <f ca="1">IFERROR(__xludf.DUMMYFUNCTION("""COMPUTED_VALUE"""),45603.4687526736)</f>
        <v>45603.468752673602</v>
      </c>
      <c r="F19" s="8" t="str">
        <f ca="1">IFERROR(__xludf.DUMMYFUNCTION("""COMPUTED_VALUE"""),"Rīgas hanzas vidusskola")</f>
        <v>Rīgas hanzas vidusskola</v>
      </c>
      <c r="G19" s="8" t="str">
        <f ca="1">IFERROR(__xludf.DUMMYFUNCTION("""COMPUTED_VALUE"""),"Šokolādes pudiņš")</f>
        <v>Šokolādes pudiņš</v>
      </c>
      <c r="H19" s="8" t="str">
        <f ca="1">IFERROR(__xludf.DUMMYFUNCTION("""COMPUTED_VALUE"""),"Rūdolfs Kilbloks")</f>
        <v>Rūdolfs Kilbloks</v>
      </c>
      <c r="I19" s="8" t="str">
        <f ca="1">IFERROR(__xludf.DUMMYFUNCTION("""COMPUTED_VALUE"""),"Elīna Blūma")</f>
        <v>Elīna Blūma</v>
      </c>
      <c r="J19" s="8" t="str">
        <f ca="1">IFERROR(__xludf.DUMMYFUNCTION("""COMPUTED_VALUE"""),"Ernests Līcis")</f>
        <v>Ernests Līcis</v>
      </c>
      <c r="K19" s="8"/>
      <c r="L19" s="13" t="b">
        <f t="shared" si="2"/>
        <v>0</v>
      </c>
      <c r="N19" s="8" t="str">
        <f ca="1">IFERROR(__xludf.DUMMYFUNCTION("""COMPUTED_VALUE"""),"ZAIGA")</f>
        <v>ZAIGA</v>
      </c>
      <c r="O19" s="13" t="b">
        <f t="shared" ca="1" si="3"/>
        <v>1</v>
      </c>
      <c r="Q19" s="8"/>
      <c r="R19" s="13" t="b">
        <f t="shared" si="4"/>
        <v>0</v>
      </c>
      <c r="T19" s="8"/>
      <c r="U19" s="13" t="b">
        <f t="shared" si="5"/>
        <v>0</v>
      </c>
      <c r="W19" s="8" t="str">
        <f ca="1">IFERROR(__xludf.DUMMYFUNCTION("""COMPUTED_VALUE"""),"ROKĀS")</f>
        <v>ROKĀS</v>
      </c>
      <c r="X19" s="13" t="b">
        <f t="shared" ca="1" si="6"/>
        <v>1</v>
      </c>
      <c r="Z19" s="8"/>
      <c r="AA19" s="13" t="b">
        <f t="shared" si="7"/>
        <v>0</v>
      </c>
      <c r="AC19" s="8" t="str">
        <f ca="1">IFERROR(__xludf.DUMMYFUNCTION("""COMPUTED_VALUE"""),"SALATE")</f>
        <v>SALATE</v>
      </c>
      <c r="AD19" s="13" t="b">
        <f t="shared" ca="1" si="8"/>
        <v>1</v>
      </c>
      <c r="AF19" s="8"/>
      <c r="AG19" s="13" t="b">
        <f t="shared" si="9"/>
        <v>0</v>
      </c>
      <c r="AI19" s="8"/>
      <c r="AJ19" s="13" t="b">
        <f t="shared" si="10"/>
        <v>0</v>
      </c>
      <c r="AL19" s="8" t="str">
        <f ca="1">IFERROR(__xludf.DUMMYFUNCTION("""COMPUTED_VALUE"""),"NODABA")</f>
        <v>NODABA</v>
      </c>
      <c r="AM19" s="13" t="b">
        <f t="shared" ca="1" si="11"/>
        <v>1</v>
      </c>
      <c r="AO19" s="8" t="b">
        <f ca="1">COUNTIF(Rezultāti!C:C,G19)&gt;0</f>
        <v>1</v>
      </c>
    </row>
    <row r="20" spans="2:41" hidden="1" x14ac:dyDescent="0.25">
      <c r="B20" s="8" t="str">
        <f ca="1">IF(C20="","",IF(COUNTIF(Rezultāti!C:C,C20)=0,"Labot",""))</f>
        <v/>
      </c>
      <c r="C20" s="8" t="str">
        <f t="shared" ca="1" si="0"/>
        <v/>
      </c>
      <c r="D20" s="8">
        <f t="shared" ca="1" si="1"/>
        <v>4</v>
      </c>
      <c r="E20" s="12">
        <f ca="1">IFERROR(__xludf.DUMMYFUNCTION("""COMPUTED_VALUE"""),45603.4692603356)</f>
        <v>45603.469260335602</v>
      </c>
      <c r="F20" s="8" t="str">
        <f ca="1">IFERROR(__xludf.DUMMYFUNCTION("""COMPUTED_VALUE"""),"Liepājas Jāņa Čakstes vidusskola")</f>
        <v>Liepājas Jāņa Čakstes vidusskola</v>
      </c>
      <c r="G20" s="8" t="str">
        <f ca="1">IFERROR(__xludf.DUMMYFUNCTION("""COMPUTED_VALUE"""),"Čakstēni")</f>
        <v>Čakstēni</v>
      </c>
      <c r="H20" s="8" t="str">
        <f ca="1">IFERROR(__xludf.DUMMYFUNCTION("""COMPUTED_VALUE"""),"Sabīne Treilība")</f>
        <v>Sabīne Treilība</v>
      </c>
      <c r="I20" s="8" t="str">
        <f ca="1">IFERROR(__xludf.DUMMYFUNCTION("""COMPUTED_VALUE"""),"Klāvs Tereščuks")</f>
        <v>Klāvs Tereščuks</v>
      </c>
      <c r="J20" s="8" t="str">
        <f ca="1">IFERROR(__xludf.DUMMYFUNCTION("""COMPUTED_VALUE"""),"Renejs Šnipke")</f>
        <v>Renejs Šnipke</v>
      </c>
      <c r="K20" s="8"/>
      <c r="L20" s="13" t="b">
        <f t="shared" si="2"/>
        <v>0</v>
      </c>
      <c r="N20" s="8" t="str">
        <f ca="1">IFERROR(__xludf.DUMMYFUNCTION("""COMPUTED_VALUE"""),"Zaiga")</f>
        <v>Zaiga</v>
      </c>
      <c r="O20" s="13" t="b">
        <f t="shared" ca="1" si="3"/>
        <v>1</v>
      </c>
      <c r="Q20" s="8"/>
      <c r="R20" s="13" t="b">
        <f t="shared" si="4"/>
        <v>0</v>
      </c>
      <c r="T20" s="8"/>
      <c r="U20" s="13" t="b">
        <f t="shared" si="5"/>
        <v>0</v>
      </c>
      <c r="W20" s="8" t="str">
        <f ca="1">IFERROR(__xludf.DUMMYFUNCTION("""COMPUTED_VALUE"""),"Rokās")</f>
        <v>Rokās</v>
      </c>
      <c r="X20" s="13" t="b">
        <f t="shared" ca="1" si="6"/>
        <v>1</v>
      </c>
      <c r="Z20" s="8" t="str">
        <f ca="1">IFERROR(__xludf.DUMMYFUNCTION("""COMPUTED_VALUE"""),"Aizkraukle")</f>
        <v>Aizkraukle</v>
      </c>
      <c r="AA20" s="13" t="b">
        <f t="shared" ca="1" si="7"/>
        <v>0</v>
      </c>
      <c r="AC20" s="8"/>
      <c r="AD20" s="13" t="b">
        <f t="shared" si="8"/>
        <v>0</v>
      </c>
      <c r="AF20" s="8"/>
      <c r="AG20" s="13" t="b">
        <f t="shared" si="9"/>
        <v>0</v>
      </c>
      <c r="AI20" s="8" t="str">
        <f ca="1">IFERROR(__xludf.DUMMYFUNCTION("""COMPUTED_VALUE"""),"Dibināja")</f>
        <v>Dibināja</v>
      </c>
      <c r="AJ20" s="13" t="b">
        <f t="shared" ca="1" si="10"/>
        <v>0</v>
      </c>
      <c r="AK20" s="7" t="b">
        <v>1</v>
      </c>
      <c r="AL20" s="8" t="str">
        <f ca="1">IFERROR(__xludf.DUMMYFUNCTION("""COMPUTED_VALUE"""),"Nodaba")</f>
        <v>Nodaba</v>
      </c>
      <c r="AM20" s="13" t="b">
        <f t="shared" ca="1" si="11"/>
        <v>1</v>
      </c>
      <c r="AO20" s="8" t="b">
        <f ca="1">COUNTIF(Rezultāti!C:C,G20)&gt;0</f>
        <v>1</v>
      </c>
    </row>
    <row r="21" spans="2:41" x14ac:dyDescent="0.25">
      <c r="B21" s="8" t="str">
        <f ca="1">IF(C21="","",IF(COUNTIF(Rezultāti!C:C,C21)=0,"Labot",""))</f>
        <v/>
      </c>
      <c r="C21" s="8" t="str">
        <f t="shared" ca="1" si="0"/>
        <v>RIR</v>
      </c>
      <c r="D21" s="8">
        <f t="shared" ca="1" si="1"/>
        <v>0</v>
      </c>
      <c r="E21" s="12">
        <f ca="1">IFERROR(__xludf.DUMMYFUNCTION("""COMPUTED_VALUE"""),45603.4810502777)</f>
        <v>45603.481050277704</v>
      </c>
      <c r="F21" s="8" t="str">
        <f ca="1">IFERROR(__xludf.DUMMYFUNCTION("""COMPUTED_VALUE"""),"Rīgas 25.vidusskola")</f>
        <v>Rīgas 25.vidusskola</v>
      </c>
      <c r="G21" s="8" t="str">
        <f ca="1">IFERROR(__xludf.DUMMYFUNCTION("""COMPUTED_VALUE"""),"RIR")</f>
        <v>RIR</v>
      </c>
      <c r="H21" s="8" t="str">
        <f ca="1">IFERROR(__xludf.DUMMYFUNCTION("""COMPUTED_VALUE"""),"Reinis Krišjānis Jēkabsons")</f>
        <v>Reinis Krišjānis Jēkabsons</v>
      </c>
      <c r="I21" s="8" t="str">
        <f ca="1">IFERROR(__xludf.DUMMYFUNCTION("""COMPUTED_VALUE"""),"Inita Dumpe")</f>
        <v>Inita Dumpe</v>
      </c>
      <c r="J21" s="8" t="str">
        <f ca="1">IFERROR(__xludf.DUMMYFUNCTION("""COMPUTED_VALUE"""),"Roberts Daugulis")</f>
        <v>Roberts Daugulis</v>
      </c>
      <c r="K21" s="8" t="str">
        <f ca="1">IFERROR(__xludf.DUMMYFUNCTION("""COMPUTED_VALUE"""),"Rīgas Pils")</f>
        <v>Rīgas Pils</v>
      </c>
      <c r="L21" s="13" t="b">
        <f t="shared" ca="1" si="2"/>
        <v>0</v>
      </c>
      <c r="N21" s="8" t="str">
        <f ca="1">IFERROR(__xludf.DUMMYFUNCTION("""COMPUTED_VALUE"""),"Inite")</f>
        <v>Inite</v>
      </c>
      <c r="O21" s="13" t="b">
        <f t="shared" ca="1" si="3"/>
        <v>0</v>
      </c>
      <c r="Q21" s="8" t="str">
        <f ca="1">IFERROR(__xludf.DUMMYFUNCTION("""COMPUTED_VALUE"""),"Zemgalē")</f>
        <v>Zemgalē</v>
      </c>
      <c r="R21" s="13" t="b">
        <f t="shared" ca="1" si="4"/>
        <v>0</v>
      </c>
      <c r="T21" s="8" t="str">
        <f ca="1">IFERROR(__xludf.DUMMYFUNCTION("""COMPUTED_VALUE"""),"Magone")</f>
        <v>Magone</v>
      </c>
      <c r="U21" s="13" t="b">
        <f t="shared" ca="1" si="5"/>
        <v>0</v>
      </c>
      <c r="W21" s="8" t="str">
        <f ca="1">IFERROR(__xludf.DUMMYFUNCTION("""COMPUTED_VALUE"""),"Luminor")</f>
        <v>Luminor</v>
      </c>
      <c r="X21" s="13" t="b">
        <f t="shared" ca="1" si="6"/>
        <v>0</v>
      </c>
      <c r="Z21" s="8" t="str">
        <f ca="1">IFERROR(__xludf.DUMMYFUNCTION("""COMPUTED_VALUE"""),"Saulkrasti")</f>
        <v>Saulkrasti</v>
      </c>
      <c r="AA21" s="13" t="b">
        <f t="shared" ca="1" si="7"/>
        <v>0</v>
      </c>
      <c r="AC21" s="8" t="str">
        <f ca="1">IFERROR(__xludf.DUMMYFUNCTION("""COMPUTED_VALUE"""),"Asaris")</f>
        <v>Asaris</v>
      </c>
      <c r="AD21" s="13" t="b">
        <f t="shared" ca="1" si="8"/>
        <v>0</v>
      </c>
      <c r="AF21" s="8" t="str">
        <f ca="1">IFERROR(__xludf.DUMMYFUNCTION("""COMPUTED_VALUE"""),"Radio")</f>
        <v>Radio</v>
      </c>
      <c r="AG21" s="13" t="b">
        <f t="shared" ca="1" si="9"/>
        <v>0</v>
      </c>
      <c r="AI21" s="8"/>
      <c r="AJ21" s="13" t="b">
        <f t="shared" si="10"/>
        <v>0</v>
      </c>
      <c r="AL21" s="8"/>
      <c r="AM21" s="13" t="b">
        <f t="shared" si="11"/>
        <v>0</v>
      </c>
      <c r="AO21" s="8" t="b">
        <f ca="1">COUNTIF(Rezultāti!C:C,G21)&gt;0</f>
        <v>1</v>
      </c>
    </row>
    <row r="22" spans="2:41" hidden="1" x14ac:dyDescent="0.25">
      <c r="B22" s="8" t="str">
        <f ca="1">IF(C22="","",IF(COUNTIF(Rezultāti!C:C,C22)=0,"Labot",""))</f>
        <v/>
      </c>
      <c r="C22" s="8" t="str">
        <f t="shared" ca="1" si="0"/>
        <v/>
      </c>
      <c r="D22" s="8">
        <f t="shared" ca="1" si="1"/>
        <v>3</v>
      </c>
      <c r="E22" s="12">
        <f ca="1">IFERROR(__xludf.DUMMYFUNCTION("""COMPUTED_VALUE"""),45603.4824645486)</f>
        <v>45603.482464548601</v>
      </c>
      <c r="F22" s="8" t="str">
        <f ca="1">IFERROR(__xludf.DUMMYFUNCTION("""COMPUTED_VALUE"""),"Rīgas Hazas vidusskola")</f>
        <v>Rīgas Hazas vidusskola</v>
      </c>
      <c r="G22" s="8" t="str">
        <f ca="1">IFERROR(__xludf.DUMMYFUNCTION("""COMPUTED_VALUE"""),"Marija Karija")</f>
        <v>Marija Karija</v>
      </c>
      <c r="H22" s="8" t="str">
        <f ca="1">IFERROR(__xludf.DUMMYFUNCTION("""COMPUTED_VALUE"""),"Ginta Leveika")</f>
        <v>Ginta Leveika</v>
      </c>
      <c r="I22" s="8" t="str">
        <f ca="1">IFERROR(__xludf.DUMMYFUNCTION("""COMPUTED_VALUE"""),"Marta Sīla")</f>
        <v>Marta Sīla</v>
      </c>
      <c r="J22" s="8" t="str">
        <f ca="1">IFERROR(__xludf.DUMMYFUNCTION("""COMPUTED_VALUE"""),"Bekija Anete Daukšte")</f>
        <v>Bekija Anete Daukšte</v>
      </c>
      <c r="K22" s="8"/>
      <c r="L22" s="13" t="b">
        <f t="shared" si="2"/>
        <v>0</v>
      </c>
      <c r="N22" s="8" t="str">
        <f ca="1">IFERROR(__xludf.DUMMYFUNCTION("""COMPUTED_VALUE"""),"Zaiga")</f>
        <v>Zaiga</v>
      </c>
      <c r="O22" s="13" t="b">
        <f t="shared" ca="1" si="3"/>
        <v>1</v>
      </c>
      <c r="Q22" s="8"/>
      <c r="R22" s="13" t="b">
        <f t="shared" si="4"/>
        <v>0</v>
      </c>
      <c r="T22" s="8"/>
      <c r="U22" s="13" t="b">
        <f t="shared" si="5"/>
        <v>0</v>
      </c>
      <c r="W22" s="8" t="str">
        <f ca="1">IFERROR(__xludf.DUMMYFUNCTION("""COMPUTED_VALUE"""),"Rokās")</f>
        <v>Rokās</v>
      </c>
      <c r="X22" s="13" t="b">
        <f t="shared" ca="1" si="6"/>
        <v>1</v>
      </c>
      <c r="Z22" s="8"/>
      <c r="AA22" s="13" t="b">
        <f t="shared" si="7"/>
        <v>0</v>
      </c>
      <c r="AC22" s="8" t="str">
        <f ca="1">IFERROR(__xludf.DUMMYFUNCTION("""COMPUTED_VALUE"""),"Salate")</f>
        <v>Salate</v>
      </c>
      <c r="AD22" s="13" t="b">
        <f t="shared" ca="1" si="8"/>
        <v>1</v>
      </c>
      <c r="AF22" s="8"/>
      <c r="AG22" s="13" t="b">
        <f t="shared" si="9"/>
        <v>0</v>
      </c>
      <c r="AI22" s="8"/>
      <c r="AJ22" s="13" t="b">
        <f t="shared" si="10"/>
        <v>0</v>
      </c>
      <c r="AL22" s="8"/>
      <c r="AM22" s="13" t="b">
        <f t="shared" si="11"/>
        <v>0</v>
      </c>
      <c r="AO22" s="8" t="b">
        <f ca="1">COUNTIF(Rezultāti!C:C,G22)&gt;0</f>
        <v>0</v>
      </c>
    </row>
    <row r="23" spans="2:41" hidden="1" x14ac:dyDescent="0.25">
      <c r="B23" s="8" t="str">
        <f ca="1">IF(C23="","",IF(COUNTIF(Rezultāti!C:C,C23)=0,"Labot",""))</f>
        <v>Labot</v>
      </c>
      <c r="C23" s="8" t="str">
        <f t="shared" ca="1" si="0"/>
        <v xml:space="preserve">Maija Seratinska </v>
      </c>
      <c r="D23" s="8">
        <f t="shared" ca="1" si="1"/>
        <v>0</v>
      </c>
      <c r="E23" s="12">
        <f ca="1">IFERROR(__xludf.DUMMYFUNCTION("""COMPUTED_VALUE"""),45603.4879729629)</f>
        <v>45603.487972962903</v>
      </c>
      <c r="F23" s="8" t="str">
        <f ca="1">IFERROR(__xludf.DUMMYFUNCTION("""COMPUTED_VALUE"""),"Rīgas Valsts vadu ģimnāzija ")</f>
        <v xml:space="preserve">Rīgas Valsts vadu ģimnāzija </v>
      </c>
      <c r="G23" s="8" t="str">
        <f ca="1">IFERROR(__xludf.DUMMYFUNCTION("""COMPUTED_VALUE"""),"Maija Seratinska ")</f>
        <v xml:space="preserve">Maija Seratinska </v>
      </c>
      <c r="H23" s="8" t="str">
        <f ca="1">IFERROR(__xludf.DUMMYFUNCTION("""COMPUTED_VALUE"""),"Maija Seratinska ")</f>
        <v xml:space="preserve">Maija Seratinska </v>
      </c>
      <c r="I23" s="8" t="str">
        <f ca="1">IFERROR(__xludf.DUMMYFUNCTION("""COMPUTED_VALUE"""),"Adele Irbe Zeidaka ")</f>
        <v xml:space="preserve">Adele Irbe Zeidaka </v>
      </c>
      <c r="J23" s="8" t="str">
        <f ca="1">IFERROR(__xludf.DUMMYFUNCTION("""COMPUTED_VALUE"""),"Pauls Ādamsons ")</f>
        <v xml:space="preserve">Pauls Ādamsons </v>
      </c>
      <c r="K23" s="8"/>
      <c r="L23" s="13" t="b">
        <f t="shared" si="2"/>
        <v>0</v>
      </c>
      <c r="N23" s="8" t="str">
        <f ca="1">IFERROR(__xludf.DUMMYFUNCTION("""COMPUTED_VALUE"""),"Zaiga ")</f>
        <v xml:space="preserve">Zaiga </v>
      </c>
      <c r="O23" s="13" t="b">
        <f t="shared" ca="1" si="3"/>
        <v>0</v>
      </c>
      <c r="Q23" s="8"/>
      <c r="R23" s="13" t="b">
        <f t="shared" si="4"/>
        <v>0</v>
      </c>
      <c r="T23" s="8"/>
      <c r="U23" s="13" t="b">
        <f t="shared" si="5"/>
        <v>0</v>
      </c>
      <c r="W23" s="8"/>
      <c r="X23" s="13" t="b">
        <f t="shared" si="6"/>
        <v>0</v>
      </c>
      <c r="Z23" s="8"/>
      <c r="AA23" s="13" t="b">
        <f t="shared" si="7"/>
        <v>0</v>
      </c>
      <c r="AC23" s="8"/>
      <c r="AD23" s="13" t="b">
        <f t="shared" si="8"/>
        <v>0</v>
      </c>
      <c r="AF23" s="8"/>
      <c r="AG23" s="13" t="b">
        <f t="shared" si="9"/>
        <v>0</v>
      </c>
      <c r="AI23" s="8"/>
      <c r="AJ23" s="13" t="b">
        <f t="shared" si="10"/>
        <v>0</v>
      </c>
      <c r="AL23" s="8"/>
      <c r="AM23" s="13" t="b">
        <f t="shared" si="11"/>
        <v>0</v>
      </c>
      <c r="AO23" s="8" t="b">
        <f ca="1">COUNTIF(Rezultāti!C:C,G23)&gt;0</f>
        <v>0</v>
      </c>
    </row>
    <row r="24" spans="2:41" x14ac:dyDescent="0.25">
      <c r="B24" s="8" t="str">
        <f ca="1">IF(C24="","",IF(COUNTIF(Rezultāti!C:C,C24)=0,"Labot",""))</f>
        <v/>
      </c>
      <c r="C24" s="8" t="str">
        <f t="shared" ca="1" si="0"/>
        <v>Bleibleids</v>
      </c>
      <c r="D24" s="8">
        <f t="shared" ca="1" si="1"/>
        <v>1</v>
      </c>
      <c r="E24" s="12">
        <f ca="1">IFERROR(__xludf.DUMMYFUNCTION("""COMPUTED_VALUE"""),45603.4917131481)</f>
        <v>45603.491713148098</v>
      </c>
      <c r="F24" s="8" t="str">
        <f ca="1">IFERROR(__xludf.DUMMYFUNCTION("""COMPUTED_VALUE"""),"Rīgas Dārzciema vidusskola")</f>
        <v>Rīgas Dārzciema vidusskola</v>
      </c>
      <c r="G24" s="8" t="str">
        <f ca="1">IFERROR(__xludf.DUMMYFUNCTION("""COMPUTED_VALUE"""),"Bleibleids")</f>
        <v>Bleibleids</v>
      </c>
      <c r="H24" s="8" t="str">
        <f ca="1">IFERROR(__xludf.DUMMYFUNCTION("""COMPUTED_VALUE"""),"Artis Malihins ")</f>
        <v xml:space="preserve">Artis Malihins </v>
      </c>
      <c r="I24" s="8" t="str">
        <f ca="1">IFERROR(__xludf.DUMMYFUNCTION("""COMPUTED_VALUE"""),"Rihards Zaksis")</f>
        <v>Rihards Zaksis</v>
      </c>
      <c r="J24" s="8" t="str">
        <f ca="1">IFERROR(__xludf.DUMMYFUNCTION("""COMPUTED_VALUE"""),"Nav")</f>
        <v>Nav</v>
      </c>
      <c r="K24" s="8"/>
      <c r="L24" s="13" t="b">
        <f t="shared" si="2"/>
        <v>0</v>
      </c>
      <c r="N24" s="8" t="str">
        <f ca="1">IFERROR(__xludf.DUMMYFUNCTION("""COMPUTED_VALUE"""),"Vilma")</f>
        <v>Vilma</v>
      </c>
      <c r="O24" s="13" t="b">
        <f t="shared" ca="1" si="3"/>
        <v>0</v>
      </c>
      <c r="Q24" s="8" t="str">
        <f ca="1">IFERROR(__xludf.DUMMYFUNCTION("""COMPUTED_VALUE"""),"Latvijā")</f>
        <v>Latvijā</v>
      </c>
      <c r="R24" s="13" t="b">
        <f t="shared" ca="1" si="4"/>
        <v>0</v>
      </c>
      <c r="T24" s="8"/>
      <c r="U24" s="13" t="b">
        <f t="shared" si="5"/>
        <v>0</v>
      </c>
      <c r="W24" s="8"/>
      <c r="X24" s="13" t="b">
        <f t="shared" si="6"/>
        <v>0</v>
      </c>
      <c r="Z24" s="8" t="str">
        <f ca="1">IFERROR(__xludf.DUMMYFUNCTION("""COMPUTED_VALUE"""),"Saulkrasti")</f>
        <v>Saulkrasti</v>
      </c>
      <c r="AA24" s="13" t="b">
        <f t="shared" ca="1" si="7"/>
        <v>0</v>
      </c>
      <c r="AC24" s="8"/>
      <c r="AD24" s="13" t="b">
        <f t="shared" si="8"/>
        <v>0</v>
      </c>
      <c r="AF24" s="8" t="str">
        <f ca="1">IFERROR(__xludf.DUMMYFUNCTION("""COMPUTED_VALUE"""),"Aplis")</f>
        <v>Aplis</v>
      </c>
      <c r="AG24" s="13" t="b">
        <f t="shared" ca="1" si="9"/>
        <v>0</v>
      </c>
      <c r="AI24" s="8" t="str">
        <f ca="1">IFERROR(__xludf.DUMMYFUNCTION("""COMPUTED_VALUE"""),"Atstarpe")</f>
        <v>Atstarpe</v>
      </c>
      <c r="AJ24" s="13" t="b">
        <f t="shared" ca="1" si="10"/>
        <v>0</v>
      </c>
      <c r="AL24" s="8" t="str">
        <f ca="1">IFERROR(__xludf.DUMMYFUNCTION("""COMPUTED_VALUE"""),"Nodaba")</f>
        <v>Nodaba</v>
      </c>
      <c r="AM24" s="13" t="b">
        <f t="shared" ca="1" si="11"/>
        <v>1</v>
      </c>
      <c r="AO24" s="8" t="b">
        <f ca="1">COUNTIF(Rezultāti!C:C,G24)&gt;0</f>
        <v>1</v>
      </c>
    </row>
    <row r="25" spans="2:41" hidden="1" x14ac:dyDescent="0.25">
      <c r="B25" s="8" t="str">
        <f ca="1">IF(C25="","",IF(COUNTIF(Rezultāti!C:C,C25)=0,"Labot",""))</f>
        <v/>
      </c>
      <c r="C25" s="8" t="str">
        <f t="shared" ca="1" si="0"/>
        <v/>
      </c>
      <c r="D25" s="8">
        <f t="shared" ca="1" si="1"/>
        <v>3</v>
      </c>
      <c r="E25" s="12">
        <f ca="1">IFERROR(__xludf.DUMMYFUNCTION("""COMPUTED_VALUE"""),45603.4952891435)</f>
        <v>45603.495289143502</v>
      </c>
      <c r="F25" s="8" t="str">
        <f ca="1">IFERROR(__xludf.DUMMYFUNCTION("""COMPUTED_VALUE"""),"Rīgas Lietuviešu vidusskola")</f>
        <v>Rīgas Lietuviešu vidusskola</v>
      </c>
      <c r="G25" s="8" t="str">
        <f ca="1">IFERROR(__xludf.DUMMYFUNCTION("""COMPUTED_VALUE"""),"Polaris")</f>
        <v>Polaris</v>
      </c>
      <c r="H25" s="8" t="str">
        <f ca="1">IFERROR(__xludf.DUMMYFUNCTION("""COMPUTED_VALUE"""),"Līva Laugale")</f>
        <v>Līva Laugale</v>
      </c>
      <c r="I25" s="8" t="str">
        <f ca="1">IFERROR(__xludf.DUMMYFUNCTION("""COMPUTED_VALUE"""),"Elīza Elizabete Makare")</f>
        <v>Elīza Elizabete Makare</v>
      </c>
      <c r="J25" s="8" t="str">
        <f ca="1">IFERROR(__xludf.DUMMYFUNCTION("""COMPUTED_VALUE"""),"Megija Zaļkalne")</f>
        <v>Megija Zaļkalne</v>
      </c>
      <c r="K25" s="8"/>
      <c r="L25" s="13" t="b">
        <f t="shared" si="2"/>
        <v>0</v>
      </c>
      <c r="N25" s="8" t="str">
        <f ca="1">IFERROR(__xludf.DUMMYFUNCTION("""COMPUTED_VALUE"""),"Zaiga")</f>
        <v>Zaiga</v>
      </c>
      <c r="O25" s="13" t="b">
        <f t="shared" ca="1" si="3"/>
        <v>1</v>
      </c>
      <c r="Q25" s="8" t="str">
        <f ca="1">IFERROR(__xludf.DUMMYFUNCTION("""COMPUTED_VALUE"""),"Latvija")</f>
        <v>Latvija</v>
      </c>
      <c r="R25" s="13" t="b">
        <f t="shared" ca="1" si="4"/>
        <v>0</v>
      </c>
      <c r="T25" s="8"/>
      <c r="U25" s="13" t="b">
        <f t="shared" si="5"/>
        <v>0</v>
      </c>
      <c r="W25" s="8" t="str">
        <f ca="1">IFERROR(__xludf.DUMMYFUNCTION("""COMPUTED_VALUE"""),"Rokās")</f>
        <v>Rokās</v>
      </c>
      <c r="X25" s="13" t="b">
        <f t="shared" ca="1" si="6"/>
        <v>1</v>
      </c>
      <c r="Z25" s="8" t="str">
        <f ca="1">IFERROR(__xludf.DUMMYFUNCTION("""COMPUTED_VALUE"""),"Saulkrasti")</f>
        <v>Saulkrasti</v>
      </c>
      <c r="AA25" s="13" t="b">
        <f t="shared" ca="1" si="7"/>
        <v>0</v>
      </c>
      <c r="AC25" s="8" t="str">
        <f ca="1">IFERROR(__xludf.DUMMYFUNCTION("""COMPUTED_VALUE"""),"Salate")</f>
        <v>Salate</v>
      </c>
      <c r="AD25" s="13" t="b">
        <f t="shared" ca="1" si="8"/>
        <v>1</v>
      </c>
      <c r="AF25" s="8"/>
      <c r="AG25" s="13" t="b">
        <f t="shared" si="9"/>
        <v>0</v>
      </c>
      <c r="AI25" s="8"/>
      <c r="AJ25" s="13" t="b">
        <f t="shared" si="10"/>
        <v>0</v>
      </c>
      <c r="AL25" s="8"/>
      <c r="AM25" s="13" t="b">
        <f t="shared" si="11"/>
        <v>0</v>
      </c>
      <c r="AO25" s="8" t="b">
        <f ca="1">COUNTIF(Rezultāti!C:C,G25)&gt;0</f>
        <v>1</v>
      </c>
    </row>
    <row r="26" spans="2:41" hidden="1" x14ac:dyDescent="0.25">
      <c r="B26" s="8" t="str">
        <f ca="1">IF(C26="","",IF(COUNTIF(Rezultāti!C:C,C26)=0,"Labot",""))</f>
        <v/>
      </c>
      <c r="C26" s="8" t="str">
        <f t="shared" ca="1" si="0"/>
        <v/>
      </c>
      <c r="D26" s="8">
        <f t="shared" ca="1" si="1"/>
        <v>5</v>
      </c>
      <c r="E26" s="12">
        <f ca="1">IFERROR(__xludf.DUMMYFUNCTION("""COMPUTED_VALUE"""),45603.4956175115)</f>
        <v>45603.4956175115</v>
      </c>
      <c r="F26" s="8" t="str">
        <f ca="1">IFERROR(__xludf.DUMMYFUNCTION("""COMPUTED_VALUE"""),"Rīgas 13. Viduss")</f>
        <v>Rīgas 13. Viduss</v>
      </c>
      <c r="G26" s="8" t="str">
        <f ca="1">IFERROR(__xludf.DUMMYFUNCTION("""COMPUTED_VALUE"""),"Komandas nosaukums ")</f>
        <v xml:space="preserve">Komandas nosaukums </v>
      </c>
      <c r="H26" s="8" t="str">
        <f ca="1">IFERROR(__xludf.DUMMYFUNCTION("""COMPUTED_VALUE"""),"Ričards Čakšs ")</f>
        <v xml:space="preserve">Ričards Čakšs </v>
      </c>
      <c r="I26" s="8" t="str">
        <f ca="1">IFERROR(__xludf.DUMMYFUNCTION("""COMPUTED_VALUE"""),"Normans Andrašuns ")</f>
        <v xml:space="preserve">Normans Andrašuns </v>
      </c>
      <c r="J26" s="8" t="str">
        <f ca="1">IFERROR(__xludf.DUMMYFUNCTION("""COMPUTED_VALUE"""),"Romans Vlasovs ")</f>
        <v xml:space="preserve">Romans Vlasovs </v>
      </c>
      <c r="K26" s="8"/>
      <c r="L26" s="13" t="b">
        <f t="shared" si="2"/>
        <v>0</v>
      </c>
      <c r="N26" s="8" t="str">
        <f ca="1">IFERROR(__xludf.DUMMYFUNCTION("""COMPUTED_VALUE"""),"Zaiga")</f>
        <v>Zaiga</v>
      </c>
      <c r="O26" s="13" t="b">
        <f t="shared" ca="1" si="3"/>
        <v>1</v>
      </c>
      <c r="Q26" s="8"/>
      <c r="R26" s="13" t="b">
        <f t="shared" si="4"/>
        <v>0</v>
      </c>
      <c r="T26" s="8"/>
      <c r="U26" s="13" t="b">
        <f t="shared" si="5"/>
        <v>0</v>
      </c>
      <c r="W26" s="8" t="str">
        <f ca="1">IFERROR(__xludf.DUMMYFUNCTION("""COMPUTED_VALUE"""),"Rokās, Nakotne ir tavas rokās")</f>
        <v>Rokās, Nakotne ir tavas rokās</v>
      </c>
      <c r="X26" s="13" t="b">
        <f t="shared" ca="1" si="6"/>
        <v>0</v>
      </c>
      <c r="Y26" s="7" t="b">
        <v>1</v>
      </c>
      <c r="Z26" s="8"/>
      <c r="AA26" s="13" t="b">
        <f t="shared" si="7"/>
        <v>0</v>
      </c>
      <c r="AC26" s="8" t="str">
        <f ca="1">IFERROR(__xludf.DUMMYFUNCTION("""COMPUTED_VALUE"""),"Salate")</f>
        <v>Salate</v>
      </c>
      <c r="AD26" s="13" t="b">
        <f t="shared" ca="1" si="8"/>
        <v>1</v>
      </c>
      <c r="AF26" s="8"/>
      <c r="AG26" s="13" t="b">
        <f t="shared" si="9"/>
        <v>0</v>
      </c>
      <c r="AI26" s="8" t="str">
        <f ca="1">IFERROR(__xludf.DUMMYFUNCTION("""COMPUTED_VALUE"""),"Dibināta ")</f>
        <v xml:space="preserve">Dibināta </v>
      </c>
      <c r="AJ26" s="13" t="b">
        <f t="shared" ca="1" si="10"/>
        <v>0</v>
      </c>
      <c r="AK26" s="7" t="b">
        <v>1</v>
      </c>
      <c r="AL26" s="8" t="str">
        <f ca="1">IFERROR(__xludf.DUMMYFUNCTION("""COMPUTED_VALUE"""),"Nodaba")</f>
        <v>Nodaba</v>
      </c>
      <c r="AM26" s="13" t="b">
        <f t="shared" ca="1" si="11"/>
        <v>1</v>
      </c>
      <c r="AO26" s="8" t="b">
        <f ca="1">COUNTIF(Rezultāti!C:C,G26)&gt;0</f>
        <v>0</v>
      </c>
    </row>
    <row r="27" spans="2:41" hidden="1" x14ac:dyDescent="0.25">
      <c r="B27" s="8" t="str">
        <f ca="1">IF(C27="","",IF(COUNTIF(Rezultāti!C:C,C27)=0,"Labot",""))</f>
        <v>Labot</v>
      </c>
      <c r="C27" s="8" t="str">
        <f t="shared" ca="1" si="0"/>
        <v>Idea! SMS</v>
      </c>
      <c r="D27" s="8">
        <f t="shared" ca="1" si="1"/>
        <v>3</v>
      </c>
      <c r="E27" s="12">
        <f ca="1">IFERROR(__xludf.DUMMYFUNCTION("""COMPUTED_VALUE"""),45603.496974699)</f>
        <v>45603.496974699003</v>
      </c>
      <c r="F27" s="8" t="str">
        <f ca="1">IFERROR(__xludf.DUMMYFUNCTION("""COMPUTED_VALUE"""),"Rīgas 34.vidusskola")</f>
        <v>Rīgas 34.vidusskola</v>
      </c>
      <c r="G27" s="8" t="str">
        <f ca="1">IFERROR(__xludf.DUMMYFUNCTION("""COMPUTED_VALUE"""),"Idea! SMS")</f>
        <v>Idea! SMS</v>
      </c>
      <c r="H27" s="8" t="str">
        <f ca="1">IFERROR(__xludf.DUMMYFUNCTION("""COMPUTED_VALUE"""),"Sofia Nasekailova")</f>
        <v>Sofia Nasekailova</v>
      </c>
      <c r="I27" s="8" t="str">
        <f ca="1">IFERROR(__xludf.DUMMYFUNCTION("""COMPUTED_VALUE"""),"Marija Soste")</f>
        <v>Marija Soste</v>
      </c>
      <c r="J27" s="8" t="str">
        <f ca="1">IFERROR(__xludf.DUMMYFUNCTION("""COMPUTED_VALUE"""),"Aleksandrs Kuziks")</f>
        <v>Aleksandrs Kuziks</v>
      </c>
      <c r="K27" s="8"/>
      <c r="L27" s="13" t="b">
        <f t="shared" si="2"/>
        <v>0</v>
      </c>
      <c r="N27" s="8" t="str">
        <f ca="1">IFERROR(__xludf.DUMMYFUNCTION("""COMPUTED_VALUE"""),"Zaiga")</f>
        <v>Zaiga</v>
      </c>
      <c r="O27" s="13" t="b">
        <f t="shared" ca="1" si="3"/>
        <v>1</v>
      </c>
      <c r="Q27" s="8"/>
      <c r="R27" s="13" t="b">
        <f t="shared" si="4"/>
        <v>0</v>
      </c>
      <c r="T27" s="8"/>
      <c r="U27" s="13" t="b">
        <f t="shared" si="5"/>
        <v>0</v>
      </c>
      <c r="W27" s="8" t="str">
        <f ca="1">IFERROR(__xludf.DUMMYFUNCTION("""COMPUTED_VALUE"""),"Rokās")</f>
        <v>Rokās</v>
      </c>
      <c r="X27" s="13" t="b">
        <f t="shared" ca="1" si="6"/>
        <v>1</v>
      </c>
      <c r="Z27" s="8" t="str">
        <f ca="1">IFERROR(__xludf.DUMMYFUNCTION("""COMPUTED_VALUE"""),"Sarkanzaļš")</f>
        <v>Sarkanzaļš</v>
      </c>
      <c r="AA27" s="13" t="b">
        <f t="shared" ca="1" si="7"/>
        <v>0</v>
      </c>
      <c r="AC27" s="8" t="str">
        <f ca="1">IFERROR(__xludf.DUMMYFUNCTION("""COMPUTED_VALUE"""),"Slazds")</f>
        <v>Slazds</v>
      </c>
      <c r="AD27" s="13" t="b">
        <f t="shared" ca="1" si="8"/>
        <v>0</v>
      </c>
      <c r="AF27" s="8"/>
      <c r="AG27" s="13" t="b">
        <f t="shared" si="9"/>
        <v>0</v>
      </c>
      <c r="AI27" s="8" t="str">
        <f ca="1">IFERROR(__xludf.DUMMYFUNCTION("""COMPUTED_VALUE"""),"Ziemelis")</f>
        <v>Ziemelis</v>
      </c>
      <c r="AJ27" s="13" t="b">
        <f t="shared" ca="1" si="10"/>
        <v>0</v>
      </c>
      <c r="AL27" s="8" t="str">
        <f ca="1">IFERROR(__xludf.DUMMYFUNCTION("""COMPUTED_VALUE"""),"Nodaba")</f>
        <v>Nodaba</v>
      </c>
      <c r="AM27" s="13" t="b">
        <f t="shared" ca="1" si="11"/>
        <v>1</v>
      </c>
      <c r="AO27" s="8" t="b">
        <f ca="1">COUNTIF(Rezultāti!C:C,G27)&gt;0</f>
        <v>0</v>
      </c>
    </row>
    <row r="28" spans="2:41" hidden="1" x14ac:dyDescent="0.25">
      <c r="B28" s="8" t="str">
        <f ca="1">IF(C28="","",IF(COUNTIF(Rezultāti!C:C,C28)=0,"Labot",""))</f>
        <v/>
      </c>
      <c r="C28" s="8" t="str">
        <f t="shared" ca="1" si="0"/>
        <v/>
      </c>
      <c r="D28" s="8">
        <f t="shared" ca="1" si="1"/>
        <v>6</v>
      </c>
      <c r="E28" s="12">
        <f ca="1">IFERROR(__xludf.DUMMYFUNCTION("""COMPUTED_VALUE"""),45603.4990747453)</f>
        <v>45603.499074745298</v>
      </c>
      <c r="F28" s="8" t="str">
        <f ca="1">IFERROR(__xludf.DUMMYFUNCTION("""COMPUTED_VALUE"""),"Rīgas Valsts 2.ģimnāzija")</f>
        <v>Rīgas Valsts 2.ģimnāzija</v>
      </c>
      <c r="G28" s="8" t="str">
        <f ca="1">IFERROR(__xludf.DUMMYFUNCTION("""COMPUTED_VALUE"""),"Rozā brilles")</f>
        <v>Rozā brilles</v>
      </c>
      <c r="H28" s="8" t="str">
        <f ca="1">IFERROR(__xludf.DUMMYFUNCTION("""COMPUTED_VALUE"""),"Sanda Čunka")</f>
        <v>Sanda Čunka</v>
      </c>
      <c r="I28" s="8" t="str">
        <f ca="1">IFERROR(__xludf.DUMMYFUNCTION("""COMPUTED_VALUE"""),"Tīna Rudbārža")</f>
        <v>Tīna Rudbārža</v>
      </c>
      <c r="J28" s="8" t="str">
        <f ca="1">IFERROR(__xludf.DUMMYFUNCTION("""COMPUTED_VALUE"""),"Rasa Stabinge")</f>
        <v>Rasa Stabinge</v>
      </c>
      <c r="K28" s="8"/>
      <c r="L28" s="13" t="b">
        <f t="shared" si="2"/>
        <v>0</v>
      </c>
      <c r="N28" s="8" t="str">
        <f ca="1">IFERROR(__xludf.DUMMYFUNCTION("""COMPUTED_VALUE"""),"Zaiga")</f>
        <v>Zaiga</v>
      </c>
      <c r="O28" s="13" t="b">
        <f t="shared" ca="1" si="3"/>
        <v>1</v>
      </c>
      <c r="Q28" s="8" t="str">
        <f ca="1">IFERROR(__xludf.DUMMYFUNCTION("""COMPUTED_VALUE"""),"Pilsoņi")</f>
        <v>Pilsoņi</v>
      </c>
      <c r="R28" s="13" t="b">
        <f t="shared" ca="1" si="4"/>
        <v>1</v>
      </c>
      <c r="T28" s="8" t="str">
        <f ca="1">IFERROR(__xludf.DUMMYFUNCTION("""COMPUTED_VALUE"""),"Tobago")</f>
        <v>Tobago</v>
      </c>
      <c r="U28" s="13" t="b">
        <f t="shared" ca="1" si="5"/>
        <v>0</v>
      </c>
      <c r="V28" s="7" t="b">
        <v>1</v>
      </c>
      <c r="W28" s="8" t="str">
        <f ca="1">IFERROR(__xludf.DUMMYFUNCTION("""COMPUTED_VALUE"""),"Rokās")</f>
        <v>Rokās</v>
      </c>
      <c r="X28" s="13" t="b">
        <f t="shared" ca="1" si="6"/>
        <v>1</v>
      </c>
      <c r="Z28" s="8"/>
      <c r="AA28" s="13" t="b">
        <f t="shared" si="7"/>
        <v>0</v>
      </c>
      <c r="AC28" s="8" t="str">
        <f ca="1">IFERROR(__xludf.DUMMYFUNCTION("""COMPUTED_VALUE"""),"Salate")</f>
        <v>Salate</v>
      </c>
      <c r="AD28" s="13" t="b">
        <f t="shared" ca="1" si="8"/>
        <v>1</v>
      </c>
      <c r="AF28" s="8"/>
      <c r="AG28" s="13" t="b">
        <f t="shared" si="9"/>
        <v>0</v>
      </c>
      <c r="AI28" s="8" t="str">
        <f ca="1">IFERROR(__xludf.DUMMYFUNCTION("""COMPUTED_VALUE"""),"Dibināta")</f>
        <v>Dibināta</v>
      </c>
      <c r="AJ28" s="13" t="b">
        <f t="shared" ca="1" si="10"/>
        <v>1</v>
      </c>
      <c r="AK28" s="7" t="b">
        <v>1</v>
      </c>
      <c r="AL28" s="8"/>
      <c r="AM28" s="13" t="b">
        <f t="shared" si="11"/>
        <v>0</v>
      </c>
      <c r="AO28" s="8" t="b">
        <f ca="1">COUNTIF(Rezultāti!C:C,G28)&gt;0</f>
        <v>1</v>
      </c>
    </row>
    <row r="29" spans="2:41" hidden="1" x14ac:dyDescent="0.25">
      <c r="B29" s="8" t="str">
        <f ca="1">IF(C29="","",IF(COUNTIF(Rezultāti!C:C,C29)=0,"Labot",""))</f>
        <v/>
      </c>
      <c r="C29" s="8" t="str">
        <f t="shared" ca="1" si="0"/>
        <v/>
      </c>
      <c r="D29" s="8">
        <f t="shared" ca="1" si="1"/>
        <v>4</v>
      </c>
      <c r="E29" s="12">
        <f ca="1">IFERROR(__xludf.DUMMYFUNCTION("""COMPUTED_VALUE"""),45603.5030447337)</f>
        <v>45603.503044733698</v>
      </c>
      <c r="F29" s="8" t="str">
        <f ca="1">IFERROR(__xludf.DUMMYFUNCTION("""COMPUTED_VALUE"""),"Liepājas Jāņa Čakstes vidusskola")</f>
        <v>Liepājas Jāņa Čakstes vidusskola</v>
      </c>
      <c r="G29" s="8" t="str">
        <f ca="1">IFERROR(__xludf.DUMMYFUNCTION("""COMPUTED_VALUE"""),"Čakstēni")</f>
        <v>Čakstēni</v>
      </c>
      <c r="H29" s="8" t="str">
        <f ca="1">IFERROR(__xludf.DUMMYFUNCTION("""COMPUTED_VALUE"""),"Sabīne Treilība")</f>
        <v>Sabīne Treilība</v>
      </c>
      <c r="I29" s="8" t="str">
        <f ca="1">IFERROR(__xludf.DUMMYFUNCTION("""COMPUTED_VALUE"""),"Klāvs Tereščuks ")</f>
        <v xml:space="preserve">Klāvs Tereščuks </v>
      </c>
      <c r="J29" s="8" t="str">
        <f ca="1">IFERROR(__xludf.DUMMYFUNCTION("""COMPUTED_VALUE"""),"Renejs Šnipke")</f>
        <v>Renejs Šnipke</v>
      </c>
      <c r="K29" s="8"/>
      <c r="L29" s="13" t="b">
        <f t="shared" si="2"/>
        <v>0</v>
      </c>
      <c r="N29" s="8" t="str">
        <f ca="1">IFERROR(__xludf.DUMMYFUNCTION("""COMPUTED_VALUE"""),"Zaiga")</f>
        <v>Zaiga</v>
      </c>
      <c r="O29" s="13" t="b">
        <f t="shared" ca="1" si="3"/>
        <v>1</v>
      </c>
      <c r="Q29" s="8"/>
      <c r="R29" s="13" t="b">
        <f t="shared" si="4"/>
        <v>0</v>
      </c>
      <c r="T29" s="8"/>
      <c r="U29" s="13" t="b">
        <f t="shared" si="5"/>
        <v>0</v>
      </c>
      <c r="W29" s="8" t="str">
        <f ca="1">IFERROR(__xludf.DUMMYFUNCTION("""COMPUTED_VALUE"""),"Rokās")</f>
        <v>Rokās</v>
      </c>
      <c r="X29" s="13" t="b">
        <f t="shared" ca="1" si="6"/>
        <v>1</v>
      </c>
      <c r="Z29" s="8" t="str">
        <f ca="1">IFERROR(__xludf.DUMMYFUNCTION("""COMPUTED_VALUE"""),"Aizkraukle")</f>
        <v>Aizkraukle</v>
      </c>
      <c r="AA29" s="13" t="b">
        <f t="shared" ca="1" si="7"/>
        <v>0</v>
      </c>
      <c r="AC29" s="8" t="str">
        <f ca="1">IFERROR(__xludf.DUMMYFUNCTION("""COMPUTED_VALUE"""),"Slatoe")</f>
        <v>Slatoe</v>
      </c>
      <c r="AD29" s="13" t="b">
        <f t="shared" ca="1" si="8"/>
        <v>0</v>
      </c>
      <c r="AF29" s="8" t="str">
        <f ca="1">IFERROR(__xludf.DUMMYFUNCTION("""COMPUTED_VALUE"""),"Morze")</f>
        <v>Morze</v>
      </c>
      <c r="AG29" s="13" t="b">
        <f t="shared" ca="1" si="9"/>
        <v>0</v>
      </c>
      <c r="AI29" s="8" t="str">
        <f ca="1">IFERROR(__xludf.DUMMYFUNCTION("""COMPUTED_VALUE"""),"Dibināja")</f>
        <v>Dibināja</v>
      </c>
      <c r="AJ29" s="13" t="b">
        <f t="shared" ca="1" si="10"/>
        <v>0</v>
      </c>
      <c r="AK29" s="7" t="b">
        <v>1</v>
      </c>
      <c r="AL29" s="8" t="str">
        <f ca="1">IFERROR(__xludf.DUMMYFUNCTION("""COMPUTED_VALUE"""),"Nodaba")</f>
        <v>Nodaba</v>
      </c>
      <c r="AM29" s="13" t="b">
        <f t="shared" ca="1" si="11"/>
        <v>1</v>
      </c>
      <c r="AO29" s="8" t="b">
        <f ca="1">COUNTIF(Rezultāti!C:C,G29)&gt;0</f>
        <v>1</v>
      </c>
    </row>
    <row r="30" spans="2:41" hidden="1" x14ac:dyDescent="0.25">
      <c r="B30" s="8" t="str">
        <f ca="1">IF(C30="","",IF(COUNTIF(Rezultāti!C:C,C30)=0,"Labot",""))</f>
        <v/>
      </c>
      <c r="C30" s="8" t="str">
        <f t="shared" ca="1" si="0"/>
        <v/>
      </c>
      <c r="D30" s="8">
        <f t="shared" ca="1" si="1"/>
        <v>7</v>
      </c>
      <c r="E30" s="12">
        <f ca="1">IFERROR(__xludf.DUMMYFUNCTION("""COMPUTED_VALUE"""),45603.5034379861)</f>
        <v>45603.503437986103</v>
      </c>
      <c r="F30" s="8" t="str">
        <f ca="1">IFERROR(__xludf.DUMMYFUNCTION("""COMPUTED_VALUE"""),"Rīgas Valsts 1. ģimnāzija ")</f>
        <v xml:space="preserve">Rīgas Valsts 1. ģimnāzija </v>
      </c>
      <c r="G30" s="8" t="str">
        <f ca="1">IFERROR(__xludf.DUMMYFUNCTION("""COMPUTED_VALUE"""),"Mums kļūda")</f>
        <v>Mums kļūda</v>
      </c>
      <c r="H30" s="8" t="str">
        <f ca="1">IFERROR(__xludf.DUMMYFUNCTION("""COMPUTED_VALUE"""),"Eliāna Meiere")</f>
        <v>Eliāna Meiere</v>
      </c>
      <c r="I30" s="8" t="str">
        <f ca="1">IFERROR(__xludf.DUMMYFUNCTION("""COMPUTED_VALUE"""),"Lika Zacmane")</f>
        <v>Lika Zacmane</v>
      </c>
      <c r="J30" s="8" t="str">
        <f ca="1">IFERROR(__xludf.DUMMYFUNCTION("""COMPUTED_VALUE"""),"Marija Savkina ")</f>
        <v xml:space="preserve">Marija Savkina </v>
      </c>
      <c r="K30" s="8"/>
      <c r="L30" s="13" t="b">
        <f t="shared" si="2"/>
        <v>0</v>
      </c>
      <c r="N30" s="8" t="str">
        <f ca="1">IFERROR(__xludf.DUMMYFUNCTION("""COMPUTED_VALUE"""),"Zaiga")</f>
        <v>Zaiga</v>
      </c>
      <c r="O30" s="13" t="b">
        <f t="shared" ca="1" si="3"/>
        <v>1</v>
      </c>
      <c r="Q30" s="8"/>
      <c r="R30" s="13" t="b">
        <f t="shared" si="4"/>
        <v>0</v>
      </c>
      <c r="T30" s="8" t="str">
        <f ca="1">IFERROR(__xludf.DUMMYFUNCTION("""COMPUTED_VALUE"""),"Tobāgo")</f>
        <v>Tobāgo</v>
      </c>
      <c r="U30" s="13" t="b">
        <f t="shared" ca="1" si="5"/>
        <v>1</v>
      </c>
      <c r="W30" s="8" t="str">
        <f ca="1">IFERROR(__xludf.DUMMYFUNCTION("""COMPUTED_VALUE"""),"Rokās")</f>
        <v>Rokās</v>
      </c>
      <c r="X30" s="13" t="b">
        <f t="shared" ca="1" si="6"/>
        <v>1</v>
      </c>
      <c r="Z30" s="8" t="str">
        <f ca="1">IFERROR(__xludf.DUMMYFUNCTION("""COMPUTED_VALUE"""),"Salacgrīva")</f>
        <v>Salacgrīva</v>
      </c>
      <c r="AA30" s="13" t="b">
        <f t="shared" ca="1" si="7"/>
        <v>1</v>
      </c>
      <c r="AC30" s="8" t="str">
        <f ca="1">IFERROR(__xludf.DUMMYFUNCTION("""COMPUTED_VALUE"""),"Salate")</f>
        <v>Salate</v>
      </c>
      <c r="AD30" s="13" t="b">
        <f t="shared" ca="1" si="8"/>
        <v>1</v>
      </c>
      <c r="AF30" s="8"/>
      <c r="AG30" s="13" t="b">
        <f t="shared" si="9"/>
        <v>0</v>
      </c>
      <c r="AI30" s="8" t="str">
        <f ca="1">IFERROR(__xludf.DUMMYFUNCTION("""COMPUTED_VALUE"""),"Dibināta ")</f>
        <v xml:space="preserve">Dibināta </v>
      </c>
      <c r="AJ30" s="13" t="b">
        <f t="shared" ca="1" si="10"/>
        <v>0</v>
      </c>
      <c r="AK30" s="7" t="b">
        <v>1</v>
      </c>
      <c r="AL30" s="8" t="str">
        <f ca="1">IFERROR(__xludf.DUMMYFUNCTION("""COMPUTED_VALUE"""),"Nodaba")</f>
        <v>Nodaba</v>
      </c>
      <c r="AM30" s="13" t="b">
        <f t="shared" ca="1" si="11"/>
        <v>1</v>
      </c>
      <c r="AO30" s="8" t="b">
        <f ca="1">COUNTIF(Rezultāti!C:C,G30)&gt;0</f>
        <v>1</v>
      </c>
    </row>
    <row r="31" spans="2:41" hidden="1" x14ac:dyDescent="0.25">
      <c r="B31" s="8" t="str">
        <f ca="1">IF(C31="","",IF(COUNTIF(Rezultāti!C:C,C31)=0,"Labot",""))</f>
        <v/>
      </c>
      <c r="C31" s="8" t="str">
        <f t="shared" ca="1" si="0"/>
        <v/>
      </c>
      <c r="D31" s="8">
        <f t="shared" ca="1" si="1"/>
        <v>3</v>
      </c>
      <c r="E31" s="12">
        <f ca="1">IFERROR(__xludf.DUMMYFUNCTION("""COMPUTED_VALUE"""),45603.5036620138)</f>
        <v>45603.503662013798</v>
      </c>
      <c r="F31" s="8" t="str">
        <f ca="1">IFERROR(__xludf.DUMMYFUNCTION("""COMPUTED_VALUE"""),"Rīgas Valsts 1.ģimnāzija")</f>
        <v>Rīgas Valsts 1.ģimnāzija</v>
      </c>
      <c r="G31" s="8" t="str">
        <f ca="1">IFERROR(__xludf.DUMMYFUNCTION("""COMPUTED_VALUE"""),"Alfa, Beta un Epsilon")</f>
        <v>Alfa, Beta un Epsilon</v>
      </c>
      <c r="H31" s="8" t="str">
        <f ca="1">IFERROR(__xludf.DUMMYFUNCTION("""COMPUTED_VALUE"""),"Beatrise Estere Krēmane")</f>
        <v>Beatrise Estere Krēmane</v>
      </c>
      <c r="I31" s="8" t="str">
        <f ca="1">IFERROR(__xludf.DUMMYFUNCTION("""COMPUTED_VALUE"""),"Antonete Martinsone")</f>
        <v>Antonete Martinsone</v>
      </c>
      <c r="J31" s="8" t="str">
        <f ca="1">IFERROR(__xludf.DUMMYFUNCTION("""COMPUTED_VALUE"""),"Emīlija Vahere-Abražune")</f>
        <v>Emīlija Vahere-Abražune</v>
      </c>
      <c r="K31" s="8"/>
      <c r="L31" s="13" t="b">
        <f t="shared" si="2"/>
        <v>0</v>
      </c>
      <c r="N31" s="8" t="str">
        <f ca="1">IFERROR(__xludf.DUMMYFUNCTION("""COMPUTED_VALUE"""),"Inita")</f>
        <v>Inita</v>
      </c>
      <c r="O31" s="13" t="b">
        <f t="shared" ca="1" si="3"/>
        <v>0</v>
      </c>
      <c r="Q31" s="8"/>
      <c r="R31" s="13" t="b">
        <f t="shared" si="4"/>
        <v>0</v>
      </c>
      <c r="T31" s="8" t="str">
        <f ca="1">IFERROR(__xludf.DUMMYFUNCTION("""COMPUTED_VALUE"""),"Tobāgo")</f>
        <v>Tobāgo</v>
      </c>
      <c r="U31" s="13" t="b">
        <f t="shared" ca="1" si="5"/>
        <v>1</v>
      </c>
      <c r="W31" s="8" t="str">
        <f ca="1">IFERROR(__xludf.DUMMYFUNCTION("""COMPUTED_VALUE"""),"rokās")</f>
        <v>rokās</v>
      </c>
      <c r="X31" s="13" t="b">
        <f t="shared" ca="1" si="6"/>
        <v>1</v>
      </c>
      <c r="Z31" s="8" t="str">
        <f ca="1">IFERROR(__xludf.DUMMYFUNCTION("""COMPUTED_VALUE"""),"Aizkraukle")</f>
        <v>Aizkraukle</v>
      </c>
      <c r="AA31" s="13" t="b">
        <f t="shared" ca="1" si="7"/>
        <v>0</v>
      </c>
      <c r="AC31" s="8"/>
      <c r="AD31" s="13" t="b">
        <f t="shared" si="8"/>
        <v>0</v>
      </c>
      <c r="AF31" s="8" t="str">
        <f ca="1">IFERROR(__xludf.DUMMYFUNCTION("""COMPUTED_VALUE"""),"radio")</f>
        <v>radio</v>
      </c>
      <c r="AG31" s="13" t="b">
        <f t="shared" ca="1" si="9"/>
        <v>0</v>
      </c>
      <c r="AI31" s="8" t="str">
        <f ca="1">IFERROR(__xludf.DUMMYFUNCTION("""COMPUTED_VALUE"""),"dibināta")</f>
        <v>dibināta</v>
      </c>
      <c r="AJ31" s="13" t="b">
        <f t="shared" ca="1" si="10"/>
        <v>1</v>
      </c>
      <c r="AK31" s="7" t="b">
        <v>1</v>
      </c>
      <c r="AL31" s="8"/>
      <c r="AM31" s="13" t="b">
        <f t="shared" si="11"/>
        <v>0</v>
      </c>
      <c r="AO31" s="8" t="b">
        <f ca="1">COUNTIF(Rezultāti!C:C,G31)&gt;0</f>
        <v>1</v>
      </c>
    </row>
    <row r="32" spans="2:41" hidden="1" x14ac:dyDescent="0.25">
      <c r="B32" s="8" t="str">
        <f ca="1">IF(C32="","",IF(COUNTIF(Rezultāti!C:C,C32)=0,"Labot",""))</f>
        <v/>
      </c>
      <c r="C32" s="8" t="str">
        <f t="shared" ca="1" si="0"/>
        <v/>
      </c>
      <c r="D32" s="8">
        <f t="shared" ca="1" si="1"/>
        <v>5</v>
      </c>
      <c r="E32" s="12">
        <f ca="1">IFERROR(__xludf.DUMMYFUNCTION("""COMPUTED_VALUE"""),45603.5048634606)</f>
        <v>45603.504863460599</v>
      </c>
      <c r="F32" s="8" t="str">
        <f ca="1">IFERROR(__xludf.DUMMYFUNCTION("""COMPUTED_VALUE"""),"Rīgas Valsts Vācu ģimnāzija ")</f>
        <v xml:space="preserve">Rīgas Valsts Vācu ģimnāzija </v>
      </c>
      <c r="G32" s="8" t="str">
        <f ca="1">IFERROR(__xludf.DUMMYFUNCTION("""COMPUTED_VALUE"""),"MAP")</f>
        <v>MAP</v>
      </c>
      <c r="H32" s="8" t="str">
        <f ca="1">IFERROR(__xludf.DUMMYFUNCTION("""COMPUTED_VALUE"""),"Maija Seratinska")</f>
        <v>Maija Seratinska</v>
      </c>
      <c r="I32" s="8" t="str">
        <f ca="1">IFERROR(__xludf.DUMMYFUNCTION("""COMPUTED_VALUE"""),"Adele Irbe Zeidaka")</f>
        <v>Adele Irbe Zeidaka</v>
      </c>
      <c r="J32" s="8" t="str">
        <f ca="1">IFERROR(__xludf.DUMMYFUNCTION("""COMPUTED_VALUE"""),"Pauls Ādamsons ")</f>
        <v xml:space="preserve">Pauls Ādamsons </v>
      </c>
      <c r="K32" s="8"/>
      <c r="L32" s="13" t="b">
        <f t="shared" si="2"/>
        <v>0</v>
      </c>
      <c r="N32" s="8" t="str">
        <f ca="1">IFERROR(__xludf.DUMMYFUNCTION("""COMPUTED_VALUE"""),"Zaiga")</f>
        <v>Zaiga</v>
      </c>
      <c r="O32" s="13" t="b">
        <f t="shared" ca="1" si="3"/>
        <v>1</v>
      </c>
      <c r="Q32" s="8"/>
      <c r="R32" s="13" t="b">
        <f t="shared" si="4"/>
        <v>0</v>
      </c>
      <c r="T32" s="8"/>
      <c r="U32" s="13" t="b">
        <f t="shared" si="5"/>
        <v>0</v>
      </c>
      <c r="W32" s="8" t="str">
        <f ca="1">IFERROR(__xludf.DUMMYFUNCTION("""COMPUTED_VALUE"""),"Rokās")</f>
        <v>Rokās</v>
      </c>
      <c r="X32" s="13" t="b">
        <f t="shared" ca="1" si="6"/>
        <v>1</v>
      </c>
      <c r="Z32" s="8"/>
      <c r="AA32" s="13" t="b">
        <f t="shared" si="7"/>
        <v>0</v>
      </c>
      <c r="AC32" s="8" t="str">
        <f ca="1">IFERROR(__xludf.DUMMYFUNCTION("""COMPUTED_VALUE"""),"Salate")</f>
        <v>Salate</v>
      </c>
      <c r="AD32" s="13" t="b">
        <f t="shared" ca="1" si="8"/>
        <v>1</v>
      </c>
      <c r="AF32" s="8"/>
      <c r="AG32" s="13" t="b">
        <f t="shared" si="9"/>
        <v>0</v>
      </c>
      <c r="AI32" s="8" t="str">
        <f ca="1">IFERROR(__xludf.DUMMYFUNCTION("""COMPUTED_VALUE"""),"Dibināta")</f>
        <v>Dibināta</v>
      </c>
      <c r="AJ32" s="13" t="b">
        <f t="shared" ca="1" si="10"/>
        <v>1</v>
      </c>
      <c r="AK32" s="7" t="b">
        <v>1</v>
      </c>
      <c r="AL32" s="8" t="str">
        <f ca="1">IFERROR(__xludf.DUMMYFUNCTION("""COMPUTED_VALUE"""),"Nodaba")</f>
        <v>Nodaba</v>
      </c>
      <c r="AM32" s="13" t="b">
        <f t="shared" ca="1" si="11"/>
        <v>1</v>
      </c>
      <c r="AO32" s="8" t="b">
        <f ca="1">COUNTIF(Rezultāti!C:C,G32)&gt;0</f>
        <v>1</v>
      </c>
    </row>
    <row r="33" spans="2:41" hidden="1" x14ac:dyDescent="0.25">
      <c r="B33" s="8" t="str">
        <f ca="1">IF(C33="","",IF(COUNTIF(Rezultāti!C:C,C33)=0,"Labot",""))</f>
        <v/>
      </c>
      <c r="C33" s="8" t="str">
        <f t="shared" ca="1" si="0"/>
        <v/>
      </c>
      <c r="D33" s="8">
        <f t="shared" ca="1" si="1"/>
        <v>2</v>
      </c>
      <c r="E33" s="12">
        <f ca="1">IFERROR(__xludf.DUMMYFUNCTION("""COMPUTED_VALUE"""),45603.50858728)</f>
        <v>45603.508587279997</v>
      </c>
      <c r="F33" s="8" t="str">
        <f ca="1">IFERROR(__xludf.DUMMYFUNCTION("""COMPUTED_VALUE"""),"Rīgas 88.vidusskola")</f>
        <v>Rīgas 88.vidusskola</v>
      </c>
      <c r="G33" s="8" t="str">
        <f ca="1">IFERROR(__xludf.DUMMYFUNCTION("""COMPUTED_VALUE"""),"FosGang")</f>
        <v>FosGang</v>
      </c>
      <c r="H33" s="8" t="str">
        <f ca="1">IFERROR(__xludf.DUMMYFUNCTION("""COMPUTED_VALUE"""),"Jana Koļcova")</f>
        <v>Jana Koļcova</v>
      </c>
      <c r="I33" s="8" t="str">
        <f ca="1">IFERROR(__xludf.DUMMYFUNCTION("""COMPUTED_VALUE"""),"Aleksandra Baranovska")</f>
        <v>Aleksandra Baranovska</v>
      </c>
      <c r="J33" s="8" t="str">
        <f ca="1">IFERROR(__xludf.DUMMYFUNCTION("""COMPUTED_VALUE"""),"Deniss Fjodorovs")</f>
        <v>Deniss Fjodorovs</v>
      </c>
      <c r="K33" s="8"/>
      <c r="L33" s="13" t="b">
        <f t="shared" si="2"/>
        <v>0</v>
      </c>
      <c r="N33" s="8"/>
      <c r="O33" s="13" t="b">
        <f t="shared" si="3"/>
        <v>0</v>
      </c>
      <c r="Q33" s="8"/>
      <c r="R33" s="13" t="b">
        <f t="shared" si="4"/>
        <v>0</v>
      </c>
      <c r="T33" s="8"/>
      <c r="U33" s="13" t="b">
        <f t="shared" si="5"/>
        <v>0</v>
      </c>
      <c r="W33" s="8" t="str">
        <f ca="1">IFERROR(__xludf.DUMMYFUNCTION("""COMPUTED_VALUE"""),"Rokās")</f>
        <v>Rokās</v>
      </c>
      <c r="X33" s="13" t="b">
        <f t="shared" ca="1" si="6"/>
        <v>1</v>
      </c>
      <c r="Z33" s="8" t="str">
        <f ca="1">IFERROR(__xludf.DUMMYFUNCTION("""COMPUTED_VALUE"""),"Hercogiste")</f>
        <v>Hercogiste</v>
      </c>
      <c r="AA33" s="13" t="b">
        <f t="shared" ca="1" si="7"/>
        <v>0</v>
      </c>
      <c r="AC33" s="8"/>
      <c r="AD33" s="13" t="b">
        <f t="shared" si="8"/>
        <v>0</v>
      </c>
      <c r="AF33" s="8"/>
      <c r="AG33" s="13" t="b">
        <f t="shared" si="9"/>
        <v>0</v>
      </c>
      <c r="AI33" s="8" t="str">
        <f ca="1">IFERROR(__xludf.DUMMYFUNCTION("""COMPUTED_VALUE"""),"Dibināta")</f>
        <v>Dibināta</v>
      </c>
      <c r="AJ33" s="13" t="b">
        <f t="shared" ca="1" si="10"/>
        <v>1</v>
      </c>
      <c r="AK33" s="7" t="b">
        <v>1</v>
      </c>
      <c r="AL33" s="8"/>
      <c r="AM33" s="13" t="b">
        <f t="shared" si="11"/>
        <v>0</v>
      </c>
      <c r="AO33" s="8" t="b">
        <f ca="1">COUNTIF(Rezultāti!C:C,G33)&gt;0</f>
        <v>1</v>
      </c>
    </row>
    <row r="34" spans="2:41" hidden="1" x14ac:dyDescent="0.25">
      <c r="B34" s="8" t="str">
        <f ca="1">IF(C34="","",IF(COUNTIF(Rezultāti!C:C,C34)=0,"Labot",""))</f>
        <v/>
      </c>
      <c r="C34" s="8" t="str">
        <f t="shared" ca="1" si="0"/>
        <v/>
      </c>
      <c r="D34" s="8">
        <f t="shared" ca="1" si="1"/>
        <v>3</v>
      </c>
      <c r="E34" s="12">
        <f ca="1">IFERROR(__xludf.DUMMYFUNCTION("""COMPUTED_VALUE"""),45603.5100175463)</f>
        <v>45603.510017546301</v>
      </c>
      <c r="F34" s="8" t="str">
        <f ca="1">IFERROR(__xludf.DUMMYFUNCTION("""COMPUTED_VALUE"""),"Rīgas Hanzas vidusskola")</f>
        <v>Rīgas Hanzas vidusskola</v>
      </c>
      <c r="G34" s="8" t="str">
        <f ca="1">IFERROR(__xludf.DUMMYFUNCTION("""COMPUTED_VALUE"""),"Marija Karija")</f>
        <v>Marija Karija</v>
      </c>
      <c r="H34" s="8" t="str">
        <f ca="1">IFERROR(__xludf.DUMMYFUNCTION("""COMPUTED_VALUE"""),"Ginta Leveika")</f>
        <v>Ginta Leveika</v>
      </c>
      <c r="I34" s="8" t="str">
        <f ca="1">IFERROR(__xludf.DUMMYFUNCTION("""COMPUTED_VALUE"""),"Marta Sīle")</f>
        <v>Marta Sīle</v>
      </c>
      <c r="J34" s="8" t="str">
        <f ca="1">IFERROR(__xludf.DUMMYFUNCTION("""COMPUTED_VALUE"""),"Bekija Anete Daukšte")</f>
        <v>Bekija Anete Daukšte</v>
      </c>
      <c r="K34" s="8"/>
      <c r="L34" s="13" t="b">
        <f t="shared" si="2"/>
        <v>0</v>
      </c>
      <c r="N34" s="8" t="str">
        <f ca="1">IFERROR(__xludf.DUMMYFUNCTION("""COMPUTED_VALUE"""),"Zaiga")</f>
        <v>Zaiga</v>
      </c>
      <c r="O34" s="13" t="b">
        <f t="shared" ca="1" si="3"/>
        <v>1</v>
      </c>
      <c r="Q34" s="8"/>
      <c r="R34" s="13" t="b">
        <f t="shared" si="4"/>
        <v>0</v>
      </c>
      <c r="T34" s="8"/>
      <c r="U34" s="13" t="b">
        <f t="shared" si="5"/>
        <v>0</v>
      </c>
      <c r="W34" s="8" t="str">
        <f ca="1">IFERROR(__xludf.DUMMYFUNCTION("""COMPUTED_VALUE"""),"Rokās")</f>
        <v>Rokās</v>
      </c>
      <c r="X34" s="13" t="b">
        <f t="shared" ca="1" si="6"/>
        <v>1</v>
      </c>
      <c r="Z34" s="8" t="str">
        <f ca="1">IFERROR(__xludf.DUMMYFUNCTION("""COMPUTED_VALUE"""),"Saulkrasti")</f>
        <v>Saulkrasti</v>
      </c>
      <c r="AA34" s="13" t="b">
        <f t="shared" ca="1" si="7"/>
        <v>0</v>
      </c>
      <c r="AC34" s="8" t="str">
        <f ca="1">IFERROR(__xludf.DUMMYFUNCTION("""COMPUTED_VALUE"""),"Salate")</f>
        <v>Salate</v>
      </c>
      <c r="AD34" s="13" t="b">
        <f t="shared" ca="1" si="8"/>
        <v>1</v>
      </c>
      <c r="AF34" s="8"/>
      <c r="AG34" s="13" t="b">
        <f t="shared" si="9"/>
        <v>0</v>
      </c>
      <c r="AI34" s="8"/>
      <c r="AJ34" s="13" t="b">
        <f t="shared" si="10"/>
        <v>0</v>
      </c>
      <c r="AL34" s="8"/>
      <c r="AM34" s="13" t="b">
        <f t="shared" si="11"/>
        <v>0</v>
      </c>
      <c r="AO34" s="8" t="b">
        <f ca="1">COUNTIF(Rezultāti!C:C,G34)&gt;0</f>
        <v>0</v>
      </c>
    </row>
    <row r="35" spans="2:41" hidden="1" x14ac:dyDescent="0.25">
      <c r="B35" s="8" t="str">
        <f ca="1">IF(C35="","",IF(COUNTIF(Rezultāti!C:C,C35)=0,"Labot",""))</f>
        <v/>
      </c>
      <c r="C35" s="8" t="str">
        <f t="shared" ca="1" si="0"/>
        <v/>
      </c>
      <c r="D35" s="8">
        <f t="shared" ca="1" si="1"/>
        <v>4</v>
      </c>
      <c r="E35" s="12">
        <f ca="1">IFERROR(__xludf.DUMMYFUNCTION("""COMPUTED_VALUE"""),45603.511258912)</f>
        <v>45603.511258912004</v>
      </c>
      <c r="F35" s="8" t="str">
        <f ca="1">IFERROR(__xludf.DUMMYFUNCTION("""COMPUTED_VALUE"""),"Rīgas Angļu ģimnāzija")</f>
        <v>Rīgas Angļu ģimnāzija</v>
      </c>
      <c r="G35" s="8" t="str">
        <f ca="1">IFERROR(__xludf.DUMMYFUNCTION("""COMPUTED_VALUE"""),"Maskačkas puzlētāji 1")</f>
        <v>Maskačkas puzlētāji 1</v>
      </c>
      <c r="H35" s="8" t="str">
        <f ca="1">IFERROR(__xludf.DUMMYFUNCTION("""COMPUTED_VALUE"""),"Renāts Strods")</f>
        <v>Renāts Strods</v>
      </c>
      <c r="I35" s="8" t="str">
        <f ca="1">IFERROR(__xludf.DUMMYFUNCTION("""COMPUTED_VALUE"""),"Linards Lazdiņš")</f>
        <v>Linards Lazdiņš</v>
      </c>
      <c r="J35" s="8" t="str">
        <f ca="1">IFERROR(__xludf.DUMMYFUNCTION("""COMPUTED_VALUE"""),"nav")</f>
        <v>nav</v>
      </c>
      <c r="K35" s="8"/>
      <c r="L35" s="13" t="b">
        <f t="shared" si="2"/>
        <v>0</v>
      </c>
      <c r="N35" s="8" t="str">
        <f ca="1">IFERROR(__xludf.DUMMYFUNCTION("""COMPUTED_VALUE"""),"Zaiga")</f>
        <v>Zaiga</v>
      </c>
      <c r="O35" s="13" t="b">
        <f t="shared" ca="1" si="3"/>
        <v>1</v>
      </c>
      <c r="Q35" s="8"/>
      <c r="R35" s="13" t="b">
        <f t="shared" si="4"/>
        <v>0</v>
      </c>
      <c r="T35" s="8"/>
      <c r="U35" s="13" t="b">
        <f t="shared" si="5"/>
        <v>0</v>
      </c>
      <c r="W35" s="8" t="str">
        <f ca="1">IFERROR(__xludf.DUMMYFUNCTION("""COMPUTED_VALUE"""),"Rokās")</f>
        <v>Rokās</v>
      </c>
      <c r="X35" s="13" t="b">
        <f t="shared" ca="1" si="6"/>
        <v>1</v>
      </c>
      <c r="Z35" s="8"/>
      <c r="AA35" s="13" t="b">
        <f t="shared" si="7"/>
        <v>0</v>
      </c>
      <c r="AC35" s="8" t="str">
        <f ca="1">IFERROR(__xludf.DUMMYFUNCTION("""COMPUTED_VALUE"""),"Alatas")</f>
        <v>Alatas</v>
      </c>
      <c r="AD35" s="13" t="b">
        <f t="shared" ca="1" si="8"/>
        <v>0</v>
      </c>
      <c r="AF35" s="8" t="str">
        <f ca="1">IFERROR(__xludf.DUMMYFUNCTION("""COMPUTED_VALUE"""),"Maize")</f>
        <v>Maize</v>
      </c>
      <c r="AG35" s="13" t="b">
        <f t="shared" ca="1" si="9"/>
        <v>0</v>
      </c>
      <c r="AI35" s="8" t="str">
        <f ca="1">IFERROR(__xludf.DUMMYFUNCTION("""COMPUTED_VALUE"""),"Dibināta")</f>
        <v>Dibināta</v>
      </c>
      <c r="AJ35" s="13" t="b">
        <f t="shared" ca="1" si="10"/>
        <v>1</v>
      </c>
      <c r="AK35" s="7" t="b">
        <v>1</v>
      </c>
      <c r="AL35" s="8" t="str">
        <f ca="1">IFERROR(__xludf.DUMMYFUNCTION("""COMPUTED_VALUE"""),"Nodaba")</f>
        <v>Nodaba</v>
      </c>
      <c r="AM35" s="13" t="b">
        <f t="shared" ca="1" si="11"/>
        <v>1</v>
      </c>
      <c r="AO35" s="8" t="b">
        <f ca="1">COUNTIF(Rezultāti!C:C,G35)&gt;0</f>
        <v>1</v>
      </c>
    </row>
    <row r="36" spans="2:41" hidden="1" x14ac:dyDescent="0.25">
      <c r="B36" s="8" t="str">
        <f ca="1">IF(C36="","",IF(COUNTIF(Rezultāti!C:C,C36)=0,"Labot",""))</f>
        <v/>
      </c>
      <c r="C36" s="8" t="str">
        <f t="shared" ca="1" si="0"/>
        <v/>
      </c>
      <c r="D36" s="8">
        <f t="shared" ca="1" si="1"/>
        <v>8</v>
      </c>
      <c r="E36" s="12">
        <f ca="1">IFERROR(__xludf.DUMMYFUNCTION("""COMPUTED_VALUE"""),45603.5117409606)</f>
        <v>45603.511740960603</v>
      </c>
      <c r="F36" s="8" t="str">
        <f ca="1">IFERROR(__xludf.DUMMYFUNCTION("""COMPUTED_VALUE"""),"Rīgas Valsts 1. ģimnāzija")</f>
        <v>Rīgas Valsts 1. ģimnāzija</v>
      </c>
      <c r="G36" s="8" t="str">
        <f ca="1">IFERROR(__xludf.DUMMYFUNCTION("""COMPUTED_VALUE"""),"Mums kļūda")</f>
        <v>Mums kļūda</v>
      </c>
      <c r="H36" s="8" t="str">
        <f ca="1">IFERROR(__xludf.DUMMYFUNCTION("""COMPUTED_VALUE"""),"Eliāna Meiere ")</f>
        <v xml:space="preserve">Eliāna Meiere </v>
      </c>
      <c r="I36" s="8" t="str">
        <f ca="1">IFERROR(__xludf.DUMMYFUNCTION("""COMPUTED_VALUE"""),"Lika Zacmane ")</f>
        <v xml:space="preserve">Lika Zacmane </v>
      </c>
      <c r="J36" s="8" t="str">
        <f ca="1">IFERROR(__xludf.DUMMYFUNCTION("""COMPUTED_VALUE"""),"Marija Savkina ")</f>
        <v xml:space="preserve">Marija Savkina </v>
      </c>
      <c r="K36" s="8"/>
      <c r="L36" s="13" t="b">
        <f t="shared" si="2"/>
        <v>0</v>
      </c>
      <c r="N36" s="8" t="str">
        <f ca="1">IFERROR(__xludf.DUMMYFUNCTION("""COMPUTED_VALUE"""),"Zaiga ")</f>
        <v xml:space="preserve">Zaiga </v>
      </c>
      <c r="O36" s="13" t="b">
        <f t="shared" ca="1" si="3"/>
        <v>0</v>
      </c>
      <c r="P36" s="7" t="b">
        <v>1</v>
      </c>
      <c r="Q36" s="8"/>
      <c r="R36" s="13" t="b">
        <f t="shared" si="4"/>
        <v>0</v>
      </c>
      <c r="T36" s="8" t="str">
        <f ca="1">IFERROR(__xludf.DUMMYFUNCTION("""COMPUTED_VALUE"""),"Tobāgo")</f>
        <v>Tobāgo</v>
      </c>
      <c r="U36" s="13" t="b">
        <f t="shared" ca="1" si="5"/>
        <v>1</v>
      </c>
      <c r="W36" s="8" t="str">
        <f ca="1">IFERROR(__xludf.DUMMYFUNCTION("""COMPUTED_VALUE"""),"Rokās")</f>
        <v>Rokās</v>
      </c>
      <c r="X36" s="13" t="b">
        <f t="shared" ca="1" si="6"/>
        <v>1</v>
      </c>
      <c r="Z36" s="8" t="str">
        <f ca="1">IFERROR(__xludf.DUMMYFUNCTION("""COMPUTED_VALUE"""),"Salacgrīva")</f>
        <v>Salacgrīva</v>
      </c>
      <c r="AA36" s="13" t="b">
        <f t="shared" ca="1" si="7"/>
        <v>1</v>
      </c>
      <c r="AC36" s="8" t="str">
        <f ca="1">IFERROR(__xludf.DUMMYFUNCTION("""COMPUTED_VALUE"""),"Salate")</f>
        <v>Salate</v>
      </c>
      <c r="AD36" s="13" t="b">
        <f t="shared" ca="1" si="8"/>
        <v>1</v>
      </c>
      <c r="AF36" s="8" t="str">
        <f ca="1">IFERROR(__xludf.DUMMYFUNCTION("""COMPUTED_VALUE"""),"Miers")</f>
        <v>Miers</v>
      </c>
      <c r="AG36" s="13" t="b">
        <f t="shared" ca="1" si="9"/>
        <v>1</v>
      </c>
      <c r="AI36" s="8" t="str">
        <f ca="1">IFERROR(__xludf.DUMMYFUNCTION("""COMPUTED_VALUE"""),"Dibināta")</f>
        <v>Dibināta</v>
      </c>
      <c r="AJ36" s="13" t="b">
        <f t="shared" ca="1" si="10"/>
        <v>1</v>
      </c>
      <c r="AK36" s="7" t="b">
        <v>1</v>
      </c>
      <c r="AL36" s="8" t="str">
        <f ca="1">IFERROR(__xludf.DUMMYFUNCTION("""COMPUTED_VALUE"""),"Nodaba")</f>
        <v>Nodaba</v>
      </c>
      <c r="AM36" s="13" t="b">
        <f t="shared" ca="1" si="11"/>
        <v>1</v>
      </c>
      <c r="AO36" s="8" t="b">
        <f ca="1">COUNTIF(Rezultāti!C:C,G36)&gt;0</f>
        <v>1</v>
      </c>
    </row>
    <row r="37" spans="2:41" hidden="1" x14ac:dyDescent="0.25">
      <c r="B37" s="8" t="str">
        <f ca="1">IF(C37="","",IF(COUNTIF(Rezultāti!C:C,C37)=0,"Labot",""))</f>
        <v/>
      </c>
      <c r="C37" s="8" t="str">
        <f t="shared" ca="1" si="0"/>
        <v/>
      </c>
      <c r="D37" s="8">
        <f t="shared" ca="1" si="1"/>
        <v>6</v>
      </c>
      <c r="E37" s="12">
        <f ca="1">IFERROR(__xludf.DUMMYFUNCTION("""COMPUTED_VALUE"""),45603.5140255555)</f>
        <v>45603.514025555502</v>
      </c>
      <c r="F37" s="8" t="str">
        <f ca="1">IFERROR(__xludf.DUMMYFUNCTION("""COMPUTED_VALUE"""),"Rīgas 13. Vidusskola ")</f>
        <v xml:space="preserve">Rīgas 13. Vidusskola </v>
      </c>
      <c r="G37" s="8" t="str">
        <f ca="1">IFERROR(__xludf.DUMMYFUNCTION("""COMPUTED_VALUE"""),"Komandas nosaukums ")</f>
        <v xml:space="preserve">Komandas nosaukums </v>
      </c>
      <c r="H37" s="8" t="str">
        <f ca="1">IFERROR(__xludf.DUMMYFUNCTION("""COMPUTED_VALUE"""),"Ričards Čakšs ")</f>
        <v xml:space="preserve">Ričards Čakšs </v>
      </c>
      <c r="I37" s="8" t="str">
        <f ca="1">IFERROR(__xludf.DUMMYFUNCTION("""COMPUTED_VALUE"""),"Normans Andrašuns ")</f>
        <v xml:space="preserve">Normans Andrašuns </v>
      </c>
      <c r="J37" s="8" t="str">
        <f ca="1">IFERROR(__xludf.DUMMYFUNCTION("""COMPUTED_VALUE"""),"Romans Vlasovs ")</f>
        <v xml:space="preserve">Romans Vlasovs </v>
      </c>
      <c r="K37" s="8"/>
      <c r="L37" s="13" t="b">
        <f t="shared" si="2"/>
        <v>0</v>
      </c>
      <c r="N37" s="8" t="str">
        <f ca="1">IFERROR(__xludf.DUMMYFUNCTION("""COMPUTED_VALUE"""),"Zaiga")</f>
        <v>Zaiga</v>
      </c>
      <c r="O37" s="13" t="b">
        <f t="shared" ca="1" si="3"/>
        <v>1</v>
      </c>
      <c r="Q37" s="8" t="str">
        <f ca="1">IFERROR(__xludf.DUMMYFUNCTION("""COMPUTED_VALUE"""),"Pilsoņi")</f>
        <v>Pilsoņi</v>
      </c>
      <c r="R37" s="13" t="b">
        <f t="shared" ca="1" si="4"/>
        <v>1</v>
      </c>
      <c r="T37" s="8"/>
      <c r="U37" s="13" t="b">
        <f t="shared" si="5"/>
        <v>0</v>
      </c>
      <c r="W37" s="8" t="str">
        <f ca="1">IFERROR(__xludf.DUMMYFUNCTION("""COMPUTED_VALUE"""),"Rokās")</f>
        <v>Rokās</v>
      </c>
      <c r="X37" s="13" t="b">
        <f t="shared" ca="1" si="6"/>
        <v>1</v>
      </c>
      <c r="Z37" s="8"/>
      <c r="AA37" s="13" t="b">
        <f t="shared" si="7"/>
        <v>0</v>
      </c>
      <c r="AC37" s="8" t="str">
        <f ca="1">IFERROR(__xludf.DUMMYFUNCTION("""COMPUTED_VALUE"""),"Salate")</f>
        <v>Salate</v>
      </c>
      <c r="AD37" s="13" t="b">
        <f t="shared" ca="1" si="8"/>
        <v>1</v>
      </c>
      <c r="AF37" s="8"/>
      <c r="AG37" s="13" t="b">
        <f t="shared" si="9"/>
        <v>0</v>
      </c>
      <c r="AI37" s="8" t="str">
        <f ca="1">IFERROR(__xludf.DUMMYFUNCTION("""COMPUTED_VALUE"""),"Dibināta ")</f>
        <v xml:space="preserve">Dibināta </v>
      </c>
      <c r="AJ37" s="13" t="b">
        <f t="shared" ca="1" si="10"/>
        <v>0</v>
      </c>
      <c r="AK37" s="7" t="b">
        <v>1</v>
      </c>
      <c r="AL37" s="8" t="str">
        <f ca="1">IFERROR(__xludf.DUMMYFUNCTION("""COMPUTED_VALUE"""),"Nodaba")</f>
        <v>Nodaba</v>
      </c>
      <c r="AM37" s="13" t="b">
        <f t="shared" ca="1" si="11"/>
        <v>1</v>
      </c>
      <c r="AO37" s="8" t="b">
        <f ca="1">COUNTIF(Rezultāti!C:C,G37)&gt;0</f>
        <v>0</v>
      </c>
    </row>
    <row r="38" spans="2:41" hidden="1" x14ac:dyDescent="0.25">
      <c r="B38" s="8" t="str">
        <f ca="1">IF(C38="","",IF(COUNTIF(Rezultāti!C:C,C38)=0,"Labot",""))</f>
        <v/>
      </c>
      <c r="C38" s="8" t="str">
        <f t="shared" ca="1" si="0"/>
        <v/>
      </c>
      <c r="D38" s="8">
        <f t="shared" ca="1" si="1"/>
        <v>5</v>
      </c>
      <c r="E38" s="12">
        <f ca="1">IFERROR(__xludf.DUMMYFUNCTION("""COMPUTED_VALUE"""),45603.5150841319)</f>
        <v>45603.515084131897</v>
      </c>
      <c r="F38" s="8" t="str">
        <f ca="1">IFERROR(__xludf.DUMMYFUNCTION("""COMPUTED_VALUE"""),"Rīgas Zolitūdes ģimnāzija")</f>
        <v>Rīgas Zolitūdes ģimnāzija</v>
      </c>
      <c r="G38" s="8" t="str">
        <f ca="1">IFERROR(__xludf.DUMMYFUNCTION("""COMPUTED_VALUE"""),"Oho!")</f>
        <v>Oho!</v>
      </c>
      <c r="H38" s="8" t="str">
        <f ca="1">IFERROR(__xludf.DUMMYFUNCTION("""COMPUTED_VALUE"""),"Elīna Savčuka")</f>
        <v>Elīna Savčuka</v>
      </c>
      <c r="I38" s="8" t="str">
        <f ca="1">IFERROR(__xludf.DUMMYFUNCTION("""COMPUTED_VALUE"""),"Valerija Sulima")</f>
        <v>Valerija Sulima</v>
      </c>
      <c r="J38" s="8" t="str">
        <f ca="1">IFERROR(__xludf.DUMMYFUNCTION("""COMPUTED_VALUE"""),"Nikola Žinkeviča")</f>
        <v>Nikola Žinkeviča</v>
      </c>
      <c r="K38" s="8"/>
      <c r="L38" s="13" t="b">
        <f t="shared" si="2"/>
        <v>0</v>
      </c>
      <c r="N38" s="8" t="str">
        <f ca="1">IFERROR(__xludf.DUMMYFUNCTION("""COMPUTED_VALUE"""),"Zaiga")</f>
        <v>Zaiga</v>
      </c>
      <c r="O38" s="13" t="b">
        <f t="shared" ca="1" si="3"/>
        <v>1</v>
      </c>
      <c r="Q38" s="8"/>
      <c r="R38" s="13" t="b">
        <f t="shared" si="4"/>
        <v>0</v>
      </c>
      <c r="T38" s="8"/>
      <c r="U38" s="13" t="b">
        <f t="shared" si="5"/>
        <v>0</v>
      </c>
      <c r="W38" s="8" t="str">
        <f ca="1">IFERROR(__xludf.DUMMYFUNCTION("""COMPUTED_VALUE"""),"Rokās")</f>
        <v>Rokās</v>
      </c>
      <c r="X38" s="13" t="b">
        <f t="shared" ca="1" si="6"/>
        <v>1</v>
      </c>
      <c r="Z38" s="8" t="str">
        <f ca="1">IFERROR(__xludf.DUMMYFUNCTION("""COMPUTED_VALUE"""),"Salacgrīva")</f>
        <v>Salacgrīva</v>
      </c>
      <c r="AA38" s="13" t="b">
        <f t="shared" ca="1" si="7"/>
        <v>1</v>
      </c>
      <c r="AC38" s="8" t="str">
        <f ca="1">IFERROR(__xludf.DUMMYFUNCTION("""COMPUTED_VALUE"""),"Salate")</f>
        <v>Salate</v>
      </c>
      <c r="AD38" s="13" t="b">
        <f t="shared" ca="1" si="8"/>
        <v>1</v>
      </c>
      <c r="AF38" s="8" t="str">
        <f ca="1">IFERROR(__xludf.DUMMYFUNCTION("""COMPUTED_VALUE"""),"Stars")</f>
        <v>Stars</v>
      </c>
      <c r="AG38" s="13" t="b">
        <f t="shared" ca="1" si="9"/>
        <v>0</v>
      </c>
      <c r="AI38" s="8" t="str">
        <f ca="1">IFERROR(__xludf.DUMMYFUNCTION("""COMPUTED_VALUE"""),"atbrīvot")</f>
        <v>atbrīvot</v>
      </c>
      <c r="AJ38" s="13" t="b">
        <f t="shared" ca="1" si="10"/>
        <v>0</v>
      </c>
      <c r="AL38" s="8" t="str">
        <f ca="1">IFERROR(__xludf.DUMMYFUNCTION("""COMPUTED_VALUE"""),"Nodaba")</f>
        <v>Nodaba</v>
      </c>
      <c r="AM38" s="13" t="b">
        <f t="shared" ca="1" si="11"/>
        <v>1</v>
      </c>
      <c r="AO38" s="8" t="b">
        <f ca="1">COUNTIF(Rezultāti!C:C,G38)&gt;0</f>
        <v>1</v>
      </c>
    </row>
    <row r="39" spans="2:41" hidden="1" x14ac:dyDescent="0.25">
      <c r="B39" s="8" t="str">
        <f ca="1">IF(C39="","",IF(COUNTIF(Rezultāti!C:C,C39)=0,"Labot",""))</f>
        <v/>
      </c>
      <c r="C39" s="8" t="str">
        <f t="shared" ca="1" si="0"/>
        <v/>
      </c>
      <c r="D39" s="8">
        <f t="shared" ca="1" si="1"/>
        <v>5</v>
      </c>
      <c r="E39" s="12">
        <f ca="1">IFERROR(__xludf.DUMMYFUNCTION("""COMPUTED_VALUE"""),45603.5153068287)</f>
        <v>45603.515306828704</v>
      </c>
      <c r="F39" s="8" t="str">
        <f ca="1">IFERROR(__xludf.DUMMYFUNCTION("""COMPUTED_VALUE"""),"Rīgas Valsts 2. ģimnāzija")</f>
        <v>Rīgas Valsts 2. ģimnāzija</v>
      </c>
      <c r="G39" s="8" t="str">
        <f ca="1">IFERROR(__xludf.DUMMYFUNCTION("""COMPUTED_VALUE"""),"Tandēms")</f>
        <v>Tandēms</v>
      </c>
      <c r="H39" s="8" t="str">
        <f ca="1">IFERROR(__xludf.DUMMYFUNCTION("""COMPUTED_VALUE"""),"Marta Šepte")</f>
        <v>Marta Šepte</v>
      </c>
      <c r="I39" s="8" t="str">
        <f ca="1">IFERROR(__xludf.DUMMYFUNCTION("""COMPUTED_VALUE"""),"Klāvs Kristaps Briedis")</f>
        <v>Klāvs Kristaps Briedis</v>
      </c>
      <c r="J39" s="8" t="str">
        <f ca="1">IFERROR(__xludf.DUMMYFUNCTION("""COMPUTED_VALUE"""),"Ernests Andrejs Lauciņš")</f>
        <v>Ernests Andrejs Lauciņš</v>
      </c>
      <c r="K39" s="8"/>
      <c r="L39" s="13" t="b">
        <f t="shared" si="2"/>
        <v>0</v>
      </c>
      <c r="N39" s="8" t="str">
        <f ca="1">IFERROR(__xludf.DUMMYFUNCTION("""COMPUTED_VALUE"""),"zaiga")</f>
        <v>zaiga</v>
      </c>
      <c r="O39" s="13" t="b">
        <f t="shared" ca="1" si="3"/>
        <v>1</v>
      </c>
      <c r="Q39" s="8"/>
      <c r="R39" s="13" t="b">
        <f t="shared" si="4"/>
        <v>0</v>
      </c>
      <c r="T39" s="8"/>
      <c r="U39" s="13" t="b">
        <f t="shared" si="5"/>
        <v>0</v>
      </c>
      <c r="W39" s="8" t="str">
        <f ca="1">IFERROR(__xludf.DUMMYFUNCTION("""COMPUTED_VALUE"""),"rokās")</f>
        <v>rokās</v>
      </c>
      <c r="X39" s="13" t="b">
        <f t="shared" ca="1" si="6"/>
        <v>1</v>
      </c>
      <c r="Z39" s="8"/>
      <c r="AA39" s="13" t="b">
        <f t="shared" si="7"/>
        <v>0</v>
      </c>
      <c r="AC39" s="8" t="str">
        <f ca="1">IFERROR(__xludf.DUMMYFUNCTION("""COMPUTED_VALUE"""),"salate")</f>
        <v>salate</v>
      </c>
      <c r="AD39" s="13" t="b">
        <f t="shared" ca="1" si="8"/>
        <v>1</v>
      </c>
      <c r="AF39" s="8"/>
      <c r="AG39" s="13" t="b">
        <f t="shared" si="9"/>
        <v>0</v>
      </c>
      <c r="AI39" s="8" t="str">
        <f ca="1">IFERROR(__xludf.DUMMYFUNCTION("""COMPUTED_VALUE"""),"dibināja")</f>
        <v>dibināja</v>
      </c>
      <c r="AJ39" s="13" t="b">
        <f t="shared" ca="1" si="10"/>
        <v>0</v>
      </c>
      <c r="AK39" s="7" t="b">
        <v>1</v>
      </c>
      <c r="AL39" s="8" t="str">
        <f ca="1">IFERROR(__xludf.DUMMYFUNCTION("""COMPUTED_VALUE"""),"nodaba")</f>
        <v>nodaba</v>
      </c>
      <c r="AM39" s="13" t="b">
        <f t="shared" ca="1" si="11"/>
        <v>1</v>
      </c>
      <c r="AO39" s="8" t="b">
        <f ca="1">COUNTIF(Rezultāti!C:C,G39)&gt;0</f>
        <v>1</v>
      </c>
    </row>
    <row r="40" spans="2:41" hidden="1" x14ac:dyDescent="0.25">
      <c r="B40" s="8" t="str">
        <f ca="1">IF(C40="","",IF(COUNTIF(Rezultāti!C:C,C40)=0,"Labot",""))</f>
        <v/>
      </c>
      <c r="C40" s="8" t="str">
        <f t="shared" ca="1" si="0"/>
        <v/>
      </c>
      <c r="D40" s="8">
        <f t="shared" ca="1" si="1"/>
        <v>5</v>
      </c>
      <c r="E40" s="12">
        <f ca="1">IFERROR(__xludf.DUMMYFUNCTION("""COMPUTED_VALUE"""),45603.517397662)</f>
        <v>45603.517397661999</v>
      </c>
      <c r="F40" s="8" t="str">
        <f ca="1">IFERROR(__xludf.DUMMYFUNCTION("""COMPUTED_VALUE"""),"Rīgas Lietuviešu vidusskola")</f>
        <v>Rīgas Lietuviešu vidusskola</v>
      </c>
      <c r="G40" s="8" t="str">
        <f ca="1">IFERROR(__xludf.DUMMYFUNCTION("""COMPUTED_VALUE"""),"Polaris")</f>
        <v>Polaris</v>
      </c>
      <c r="H40" s="8" t="str">
        <f ca="1">IFERROR(__xludf.DUMMYFUNCTION("""COMPUTED_VALUE"""),"Līva Laugale")</f>
        <v>Līva Laugale</v>
      </c>
      <c r="I40" s="8" t="str">
        <f ca="1">IFERROR(__xludf.DUMMYFUNCTION("""COMPUTED_VALUE"""),"Elīza Elizabete Makare")</f>
        <v>Elīza Elizabete Makare</v>
      </c>
      <c r="J40" s="8" t="str">
        <f ca="1">IFERROR(__xludf.DUMMYFUNCTION("""COMPUTED_VALUE"""),"Megija Zaļkalne")</f>
        <v>Megija Zaļkalne</v>
      </c>
      <c r="K40" s="8"/>
      <c r="L40" s="13" t="b">
        <f t="shared" si="2"/>
        <v>0</v>
      </c>
      <c r="N40" s="8" t="str">
        <f ca="1">IFERROR(__xludf.DUMMYFUNCTION("""COMPUTED_VALUE"""),"Zaiga")</f>
        <v>Zaiga</v>
      </c>
      <c r="O40" s="13" t="b">
        <f t="shared" ca="1" si="3"/>
        <v>1</v>
      </c>
      <c r="Q40" s="8" t="str">
        <f ca="1">IFERROR(__xludf.DUMMYFUNCTION("""COMPUTED_VALUE"""),"Latvija")</f>
        <v>Latvija</v>
      </c>
      <c r="R40" s="13" t="b">
        <f t="shared" ca="1" si="4"/>
        <v>0</v>
      </c>
      <c r="T40" s="8" t="str">
        <f ca="1">IFERROR(__xludf.DUMMYFUNCTION("""COMPUTED_VALUE"""),"Tobāgo")</f>
        <v>Tobāgo</v>
      </c>
      <c r="U40" s="13" t="b">
        <f t="shared" ca="1" si="5"/>
        <v>1</v>
      </c>
      <c r="W40" s="8" t="str">
        <f ca="1">IFERROR(__xludf.DUMMYFUNCTION("""COMPUTED_VALUE"""),"Rokās")</f>
        <v>Rokās</v>
      </c>
      <c r="X40" s="13" t="b">
        <f t="shared" ca="1" si="6"/>
        <v>1</v>
      </c>
      <c r="Z40" s="8" t="str">
        <f ca="1">IFERROR(__xludf.DUMMYFUNCTION("""COMPUTED_VALUE"""),"Saulkrasti")</f>
        <v>Saulkrasti</v>
      </c>
      <c r="AA40" s="13" t="b">
        <f t="shared" ca="1" si="7"/>
        <v>0</v>
      </c>
      <c r="AC40" s="8" t="str">
        <f ca="1">IFERROR(__xludf.DUMMYFUNCTION("""COMPUTED_VALUE"""),"Salate")</f>
        <v>Salate</v>
      </c>
      <c r="AD40" s="13" t="b">
        <f t="shared" ca="1" si="8"/>
        <v>1</v>
      </c>
      <c r="AF40" s="8" t="str">
        <f ca="1">IFERROR(__xludf.DUMMYFUNCTION("""COMPUTED_VALUE"""),"Flora")</f>
        <v>Flora</v>
      </c>
      <c r="AG40" s="13" t="b">
        <f t="shared" ca="1" si="9"/>
        <v>0</v>
      </c>
      <c r="AI40" s="8" t="str">
        <f ca="1">IFERROR(__xludf.DUMMYFUNCTION("""COMPUTED_VALUE"""),"Livonija")</f>
        <v>Livonija</v>
      </c>
      <c r="AJ40" s="13" t="b">
        <f t="shared" ca="1" si="10"/>
        <v>0</v>
      </c>
      <c r="AL40" s="8" t="str">
        <f ca="1">IFERROR(__xludf.DUMMYFUNCTION("""COMPUTED_VALUE"""),"Nodaba")</f>
        <v>Nodaba</v>
      </c>
      <c r="AM40" s="13" t="b">
        <f t="shared" ca="1" si="11"/>
        <v>1</v>
      </c>
      <c r="AO40" s="8" t="b">
        <f ca="1">COUNTIF(Rezultāti!C:C,G40)&gt;0</f>
        <v>1</v>
      </c>
    </row>
    <row r="41" spans="2:41" hidden="1" x14ac:dyDescent="0.25">
      <c r="B41" s="8" t="str">
        <f ca="1">IF(C41="","",IF(COUNTIF(Rezultāti!C:C,C41)=0,"Labot",""))</f>
        <v>Labot</v>
      </c>
      <c r="C41" s="8" t="str">
        <f t="shared" ca="1" si="0"/>
        <v xml:space="preserve">Ķirsīši </v>
      </c>
      <c r="D41" s="8">
        <f t="shared" ca="1" si="1"/>
        <v>4</v>
      </c>
      <c r="E41" s="12">
        <f ca="1">IFERROR(__xludf.DUMMYFUNCTION("""COMPUTED_VALUE"""),45603.5175250578)</f>
        <v>45603.517525057803</v>
      </c>
      <c r="F41" s="8" t="str">
        <f ca="1">IFERROR(__xludf.DUMMYFUNCTION("""COMPUTED_VALUE"""),"Rīgas 40 vidusskola")</f>
        <v>Rīgas 40 vidusskola</v>
      </c>
      <c r="G41" s="8" t="str">
        <f ca="1">IFERROR(__xludf.DUMMYFUNCTION("""COMPUTED_VALUE"""),"Ķirsīši ")</f>
        <v xml:space="preserve">Ķirsīši </v>
      </c>
      <c r="H41" s="8" t="str">
        <f ca="1">IFERROR(__xludf.DUMMYFUNCTION("""COMPUTED_VALUE"""),"Sergejs Usenko ")</f>
        <v xml:space="preserve">Sergejs Usenko </v>
      </c>
      <c r="I41" s="8" t="str">
        <f ca="1">IFERROR(__xludf.DUMMYFUNCTION("""COMPUTED_VALUE"""),"Aleksandrs Raciņš")</f>
        <v>Aleksandrs Raciņš</v>
      </c>
      <c r="J41" s="8" t="str">
        <f ca="1">IFERROR(__xludf.DUMMYFUNCTION("""COMPUTED_VALUE"""),"Antons Gaņins")</f>
        <v>Antons Gaņins</v>
      </c>
      <c r="K41" s="8"/>
      <c r="L41" s="13" t="b">
        <f t="shared" si="2"/>
        <v>0</v>
      </c>
      <c r="N41" s="8" t="str">
        <f ca="1">IFERROR(__xludf.DUMMYFUNCTION("""COMPUTED_VALUE"""),"Zaiga")</f>
        <v>Zaiga</v>
      </c>
      <c r="O41" s="13" t="b">
        <f t="shared" ca="1" si="3"/>
        <v>1</v>
      </c>
      <c r="Q41" s="8"/>
      <c r="R41" s="13" t="b">
        <f t="shared" si="4"/>
        <v>0</v>
      </c>
      <c r="T41" s="8"/>
      <c r="U41" s="13" t="b">
        <f t="shared" si="5"/>
        <v>0</v>
      </c>
      <c r="W41" s="8" t="str">
        <f ca="1">IFERROR(__xludf.DUMMYFUNCTION("""COMPUTED_VALUE"""),"Rokās")</f>
        <v>Rokās</v>
      </c>
      <c r="X41" s="13" t="b">
        <f t="shared" ca="1" si="6"/>
        <v>1</v>
      </c>
      <c r="Z41" s="8" t="str">
        <f ca="1">IFERROR(__xludf.DUMMYFUNCTION("""COMPUTED_VALUE"""),"Saulkrasti ")</f>
        <v xml:space="preserve">Saulkrasti </v>
      </c>
      <c r="AA41" s="13" t="b">
        <f t="shared" ca="1" si="7"/>
        <v>0</v>
      </c>
      <c r="AC41" s="8" t="str">
        <f ca="1">IFERROR(__xludf.DUMMYFUNCTION("""COMPUTED_VALUE"""),"Salate")</f>
        <v>Salate</v>
      </c>
      <c r="AD41" s="13" t="b">
        <f t="shared" ca="1" si="8"/>
        <v>1</v>
      </c>
      <c r="AF41" s="8"/>
      <c r="AG41" s="13" t="b">
        <f t="shared" si="9"/>
        <v>0</v>
      </c>
      <c r="AI41" s="8" t="str">
        <f ca="1">IFERROR(__xludf.DUMMYFUNCTION("""COMPUTED_VALUE"""),"Dibināta ")</f>
        <v xml:space="preserve">Dibināta </v>
      </c>
      <c r="AJ41" s="13" t="b">
        <f t="shared" ca="1" si="10"/>
        <v>0</v>
      </c>
      <c r="AK41" s="7" t="b">
        <v>1</v>
      </c>
      <c r="AL41" s="8"/>
      <c r="AM41" s="13" t="b">
        <f t="shared" si="11"/>
        <v>0</v>
      </c>
      <c r="AO41" s="8" t="b">
        <f ca="1">COUNTIF(Rezultāti!C:C,G41)&gt;0</f>
        <v>0</v>
      </c>
    </row>
    <row r="42" spans="2:41" hidden="1" x14ac:dyDescent="0.25">
      <c r="B42" s="8" t="str">
        <f ca="1">IF(C42="","",IF(COUNTIF(Rezultāti!C:C,C42)=0,"Labot",""))</f>
        <v>Labot</v>
      </c>
      <c r="C42" s="8" t="str">
        <f t="shared" ca="1" si="0"/>
        <v>Marija Karija</v>
      </c>
      <c r="D42" s="8">
        <f t="shared" ca="1" si="1"/>
        <v>2</v>
      </c>
      <c r="E42" s="12">
        <f ca="1">IFERROR(__xludf.DUMMYFUNCTION("""COMPUTED_VALUE"""),45603.5177190393)</f>
        <v>45603.517719039301</v>
      </c>
      <c r="F42" s="8" t="str">
        <f ca="1">IFERROR(__xludf.DUMMYFUNCTION("""COMPUTED_VALUE"""),"Rīgas Hanzaz vidusskola")</f>
        <v>Rīgas Hanzaz vidusskola</v>
      </c>
      <c r="G42" s="8" t="str">
        <f ca="1">IFERROR(__xludf.DUMMYFUNCTION("""COMPUTED_VALUE"""),"Marija Karija")</f>
        <v>Marija Karija</v>
      </c>
      <c r="H42" s="8" t="str">
        <f ca="1">IFERROR(__xludf.DUMMYFUNCTION("""COMPUTED_VALUE"""),"Ginta Leveika")</f>
        <v>Ginta Leveika</v>
      </c>
      <c r="I42" s="8" t="str">
        <f ca="1">IFERROR(__xludf.DUMMYFUNCTION("""COMPUTED_VALUE"""),"Marta Sīle")</f>
        <v>Marta Sīle</v>
      </c>
      <c r="J42" s="8" t="str">
        <f ca="1">IFERROR(__xludf.DUMMYFUNCTION("""COMPUTED_VALUE"""),"Bekija Anete Daukšte")</f>
        <v>Bekija Anete Daukšte</v>
      </c>
      <c r="K42" s="8"/>
      <c r="L42" s="13" t="b">
        <f t="shared" si="2"/>
        <v>0</v>
      </c>
      <c r="N42" s="8" t="str">
        <f ca="1">IFERROR(__xludf.DUMMYFUNCTION("""COMPUTED_VALUE"""),"Zaiga")</f>
        <v>Zaiga</v>
      </c>
      <c r="O42" s="13" t="b">
        <f t="shared" ca="1" si="3"/>
        <v>1</v>
      </c>
      <c r="Q42" s="8"/>
      <c r="R42" s="13" t="b">
        <f t="shared" si="4"/>
        <v>0</v>
      </c>
      <c r="T42" s="8"/>
      <c r="U42" s="13" t="b">
        <f t="shared" si="5"/>
        <v>0</v>
      </c>
      <c r="W42" s="8"/>
      <c r="X42" s="13" t="b">
        <f t="shared" si="6"/>
        <v>0</v>
      </c>
      <c r="Z42" s="8" t="str">
        <f ca="1">IFERROR(__xludf.DUMMYFUNCTION("""COMPUTED_VALUE"""),"Saulkrasti")</f>
        <v>Saulkrasti</v>
      </c>
      <c r="AA42" s="13" t="b">
        <f t="shared" ca="1" si="7"/>
        <v>0</v>
      </c>
      <c r="AC42" s="8" t="str">
        <f ca="1">IFERROR(__xludf.DUMMYFUNCTION("""COMPUTED_VALUE"""),"Salate")</f>
        <v>Salate</v>
      </c>
      <c r="AD42" s="13" t="b">
        <f t="shared" ca="1" si="8"/>
        <v>1</v>
      </c>
      <c r="AF42" s="8"/>
      <c r="AG42" s="13" t="b">
        <f t="shared" si="9"/>
        <v>0</v>
      </c>
      <c r="AI42" s="8" t="str">
        <f ca="1">IFERROR(__xludf.DUMMYFUNCTION("""COMPUTED_VALUE"""),"Livonija")</f>
        <v>Livonija</v>
      </c>
      <c r="AJ42" s="13" t="b">
        <f t="shared" ca="1" si="10"/>
        <v>0</v>
      </c>
      <c r="AL42" s="8"/>
      <c r="AM42" s="13" t="b">
        <f t="shared" si="11"/>
        <v>0</v>
      </c>
      <c r="AO42" s="8" t="b">
        <f ca="1">COUNTIF(Rezultāti!C:C,G42)&gt;0</f>
        <v>0</v>
      </c>
    </row>
    <row r="43" spans="2:41" x14ac:dyDescent="0.25">
      <c r="B43" s="8" t="str">
        <f ca="1">IF(C43="","",IF(COUNTIF(Rezultāti!C:C,C43)=0,"Labot",""))</f>
        <v/>
      </c>
      <c r="C43" s="8" t="str">
        <f t="shared" ca="1" si="0"/>
        <v>Polaris</v>
      </c>
      <c r="D43" s="8">
        <f t="shared" ca="1" si="1"/>
        <v>6</v>
      </c>
      <c r="E43" s="12">
        <f ca="1">IFERROR(__xludf.DUMMYFUNCTION("""COMPUTED_VALUE"""),45603.5263472338)</f>
        <v>45603.526347233797</v>
      </c>
      <c r="F43" s="8" t="str">
        <f ca="1">IFERROR(__xludf.DUMMYFUNCTION("""COMPUTED_VALUE"""),"Rīgas Lietuviešu vidusskola")</f>
        <v>Rīgas Lietuviešu vidusskola</v>
      </c>
      <c r="G43" s="8" t="str">
        <f ca="1">IFERROR(__xludf.DUMMYFUNCTION("""COMPUTED_VALUE"""),"Polaris")</f>
        <v>Polaris</v>
      </c>
      <c r="H43" s="8" t="str">
        <f ca="1">IFERROR(__xludf.DUMMYFUNCTION("""COMPUTED_VALUE"""),"Līva Laugale")</f>
        <v>Līva Laugale</v>
      </c>
      <c r="I43" s="8" t="str">
        <f ca="1">IFERROR(__xludf.DUMMYFUNCTION("""COMPUTED_VALUE"""),"Elīza Elizabete Makare")</f>
        <v>Elīza Elizabete Makare</v>
      </c>
      <c r="J43" s="8" t="str">
        <f ca="1">IFERROR(__xludf.DUMMYFUNCTION("""COMPUTED_VALUE"""),"Megija Zaļkalne")</f>
        <v>Megija Zaļkalne</v>
      </c>
      <c r="K43" s="8" t="str">
        <f ca="1">IFERROR(__xludf.DUMMYFUNCTION("""COMPUTED_VALUE"""),"Rīgas svētā Pētera baznīca")</f>
        <v>Rīgas svētā Pētera baznīca</v>
      </c>
      <c r="L43" s="13" t="b">
        <f t="shared" ca="1" si="2"/>
        <v>0</v>
      </c>
      <c r="N43" s="8" t="str">
        <f ca="1">IFERROR(__xludf.DUMMYFUNCTION("""COMPUTED_VALUE"""),"Zaiga")</f>
        <v>Zaiga</v>
      </c>
      <c r="O43" s="13" t="b">
        <f t="shared" ca="1" si="3"/>
        <v>1</v>
      </c>
      <c r="Q43" s="8" t="str">
        <f ca="1">IFERROR(__xludf.DUMMYFUNCTION("""COMPUTED_VALUE"""),"Daugava")</f>
        <v>Daugava</v>
      </c>
      <c r="R43" s="13" t="b">
        <f t="shared" ca="1" si="4"/>
        <v>0</v>
      </c>
      <c r="T43" s="8" t="str">
        <f ca="1">IFERROR(__xludf.DUMMYFUNCTION("""COMPUTED_VALUE"""),"Tobāgo")</f>
        <v>Tobāgo</v>
      </c>
      <c r="U43" s="13" t="b">
        <f t="shared" ca="1" si="5"/>
        <v>1</v>
      </c>
      <c r="W43" s="8" t="str">
        <f ca="1">IFERROR(__xludf.DUMMYFUNCTION("""COMPUTED_VALUE"""),"Rokās")</f>
        <v>Rokās</v>
      </c>
      <c r="X43" s="13" t="b">
        <f t="shared" ca="1" si="6"/>
        <v>1</v>
      </c>
      <c r="Z43" s="8" t="str">
        <f ca="1">IFERROR(__xludf.DUMMYFUNCTION("""COMPUTED_VALUE"""),"Saulkrasti")</f>
        <v>Saulkrasti</v>
      </c>
      <c r="AA43" s="13" t="b">
        <f t="shared" ca="1" si="7"/>
        <v>0</v>
      </c>
      <c r="AC43" s="8" t="str">
        <f ca="1">IFERROR(__xludf.DUMMYFUNCTION("""COMPUTED_VALUE"""),"Salate")</f>
        <v>Salate</v>
      </c>
      <c r="AD43" s="13" t="b">
        <f t="shared" ca="1" si="8"/>
        <v>1</v>
      </c>
      <c r="AF43" s="8" t="str">
        <f ca="1">IFERROR(__xludf.DUMMYFUNCTION("""COMPUTED_VALUE"""),"Flora")</f>
        <v>Flora</v>
      </c>
      <c r="AG43" s="13" t="b">
        <f t="shared" ca="1" si="9"/>
        <v>0</v>
      </c>
      <c r="AI43" s="8" t="str">
        <f ca="1">IFERROR(__xludf.DUMMYFUNCTION("""COMPUTED_VALUE"""),"Dibināt")</f>
        <v>Dibināt</v>
      </c>
      <c r="AJ43" s="13" t="b">
        <f t="shared" ca="1" si="10"/>
        <v>0</v>
      </c>
      <c r="AK43" s="7" t="b">
        <v>1</v>
      </c>
      <c r="AL43" s="8" t="str">
        <f ca="1">IFERROR(__xludf.DUMMYFUNCTION("""COMPUTED_VALUE"""),"Nodaba")</f>
        <v>Nodaba</v>
      </c>
      <c r="AM43" s="13" t="b">
        <f t="shared" ca="1" si="11"/>
        <v>1</v>
      </c>
      <c r="AO43" s="8" t="b">
        <f ca="1">COUNTIF(Rezultāti!C:C,G43)&gt;0</f>
        <v>1</v>
      </c>
    </row>
    <row r="44" spans="2:41" hidden="1" x14ac:dyDescent="0.25">
      <c r="B44" s="8" t="str">
        <f ca="1">IF(C44="","",IF(COUNTIF(Rezultāti!C:C,C44)=0,"Labot",""))</f>
        <v/>
      </c>
      <c r="C44" s="8" t="str">
        <f t="shared" ca="1" si="0"/>
        <v/>
      </c>
      <c r="D44" s="8">
        <f t="shared" ca="1" si="1"/>
        <v>2</v>
      </c>
      <c r="E44" s="12">
        <f ca="1">IFERROR(__xludf.DUMMYFUNCTION("""COMPUTED_VALUE"""),45603.5270914583)</f>
        <v>45603.527091458302</v>
      </c>
      <c r="F44" s="8" t="str">
        <f ca="1">IFERROR(__xludf.DUMMYFUNCTION("""COMPUTED_VALUE"""),"Rīgas valsts klasiskā ģimnāzija")</f>
        <v>Rīgas valsts klasiskā ģimnāzija</v>
      </c>
      <c r="G44" s="8" t="str">
        <f ca="1">IFERROR(__xludf.DUMMYFUNCTION("""COMPUTED_VALUE"""),"VECTOR")</f>
        <v>VECTOR</v>
      </c>
      <c r="H44" s="8" t="str">
        <f ca="1">IFERROR(__xludf.DUMMYFUNCTION("""COMPUTED_VALUE"""),"Deniss Pantelejevs")</f>
        <v>Deniss Pantelejevs</v>
      </c>
      <c r="I44" s="8" t="str">
        <f ca="1">IFERROR(__xludf.DUMMYFUNCTION("""COMPUTED_VALUE"""),"Artūrs Kurme")</f>
        <v>Artūrs Kurme</v>
      </c>
      <c r="J44" s="8" t="str">
        <f ca="1">IFERROR(__xludf.DUMMYFUNCTION("""COMPUTED_VALUE"""),"Irina Ternovaja")</f>
        <v>Irina Ternovaja</v>
      </c>
      <c r="K44" s="8"/>
      <c r="L44" s="13" t="b">
        <f t="shared" si="2"/>
        <v>0</v>
      </c>
      <c r="N44" s="8" t="str">
        <f ca="1">IFERROR(__xludf.DUMMYFUNCTION("""COMPUTED_VALUE"""),"Vigma")</f>
        <v>Vigma</v>
      </c>
      <c r="O44" s="13" t="b">
        <f t="shared" ca="1" si="3"/>
        <v>0</v>
      </c>
      <c r="Q44" s="8" t="str">
        <f ca="1">IFERROR(__xludf.DUMMYFUNCTION("""COMPUTED_VALUE"""),"Teātris")</f>
        <v>Teātris</v>
      </c>
      <c r="R44" s="13" t="b">
        <f t="shared" ca="1" si="4"/>
        <v>0</v>
      </c>
      <c r="T44" s="8"/>
      <c r="U44" s="13" t="b">
        <f t="shared" si="5"/>
        <v>0</v>
      </c>
      <c r="W44" s="8" t="str">
        <f ca="1">IFERROR(__xludf.DUMMYFUNCTION("""COMPUTED_VALUE"""),"Rokās")</f>
        <v>Rokās</v>
      </c>
      <c r="X44" s="13" t="b">
        <f t="shared" ca="1" si="6"/>
        <v>1</v>
      </c>
      <c r="Z44" s="8"/>
      <c r="AA44" s="13" t="b">
        <f t="shared" si="7"/>
        <v>0</v>
      </c>
      <c r="AC44" s="8" t="str">
        <f ca="1">IFERROR(__xludf.DUMMYFUNCTION("""COMPUTED_VALUE"""),"Aisāns")</f>
        <v>Aisāns</v>
      </c>
      <c r="AD44" s="13" t="b">
        <f t="shared" ca="1" si="8"/>
        <v>0</v>
      </c>
      <c r="AF44" s="8" t="str">
        <f ca="1">IFERROR(__xludf.DUMMYFUNCTION("""COMPUTED_VALUE"""),"Zagts")</f>
        <v>Zagts</v>
      </c>
      <c r="AG44" s="13" t="b">
        <f t="shared" ca="1" si="9"/>
        <v>0</v>
      </c>
      <c r="AI44" s="8" t="str">
        <f ca="1">IFERROR(__xludf.DUMMYFUNCTION("""COMPUTED_VALUE"""),"Dievnams")</f>
        <v>Dievnams</v>
      </c>
      <c r="AJ44" s="13" t="b">
        <f t="shared" ca="1" si="10"/>
        <v>0</v>
      </c>
      <c r="AL44" s="8" t="str">
        <f ca="1">IFERROR(__xludf.DUMMYFUNCTION("""COMPUTED_VALUE"""),"Nodaba")</f>
        <v>Nodaba</v>
      </c>
      <c r="AM44" s="13" t="b">
        <f t="shared" ca="1" si="11"/>
        <v>1</v>
      </c>
      <c r="AO44" s="8" t="b">
        <f ca="1">COUNTIF(Rezultāti!C:C,G44)&gt;0</f>
        <v>1</v>
      </c>
    </row>
    <row r="45" spans="2:41" x14ac:dyDescent="0.25">
      <c r="B45" s="8" t="str">
        <f ca="1">IF(C45="","",IF(COUNTIF(Rezultāti!C:C,C45)=0,"Labot",""))</f>
        <v/>
      </c>
      <c r="C45" s="8" t="str">
        <f t="shared" ca="1" si="0"/>
        <v>mežmaži</v>
      </c>
      <c r="D45" s="8">
        <f t="shared" ca="1" si="1"/>
        <v>7</v>
      </c>
      <c r="E45" s="12">
        <f ca="1">IFERROR(__xludf.DUMMYFUNCTION("""COMPUTED_VALUE"""),45603.5289808912)</f>
        <v>45603.528980891198</v>
      </c>
      <c r="F45" s="8" t="str">
        <f ca="1">IFERROR(__xludf.DUMMYFUNCTION("""COMPUTED_VALUE"""),"Rīgas Valsts 1. ģimnāzija")</f>
        <v>Rīgas Valsts 1. ģimnāzija</v>
      </c>
      <c r="G45" s="8" t="str">
        <f ca="1">IFERROR(__xludf.DUMMYFUNCTION("""COMPUTED_VALUE"""),"mežmaži")</f>
        <v>mežmaži</v>
      </c>
      <c r="H45" s="8" t="str">
        <f ca="1">IFERROR(__xludf.DUMMYFUNCTION("""COMPUTED_VALUE"""),"Andrejs Freibergs")</f>
        <v>Andrejs Freibergs</v>
      </c>
      <c r="I45" s="8" t="str">
        <f ca="1">IFERROR(__xludf.DUMMYFUNCTION("""COMPUTED_VALUE"""),"Juris Jaunzemis")</f>
        <v>Juris Jaunzemis</v>
      </c>
      <c r="J45" s="8" t="str">
        <f ca="1">IFERROR(__xludf.DUMMYFUNCTION("""COMPUTED_VALUE"""),"Tomass Ķerus")</f>
        <v>Tomass Ķerus</v>
      </c>
      <c r="K45" s="8" t="str">
        <f ca="1">IFERROR(__xludf.DUMMYFUNCTION("""COMPUTED_VALUE"""),"TRĪS BRĀĻI")</f>
        <v>TRĪS BRĀĻI</v>
      </c>
      <c r="L45" s="13" t="b">
        <f t="shared" ca="1" si="2"/>
        <v>0</v>
      </c>
      <c r="N45" s="8" t="str">
        <f ca="1">IFERROR(__xludf.DUMMYFUNCTION("""COMPUTED_VALUE"""),"ZAIGA")</f>
        <v>ZAIGA</v>
      </c>
      <c r="O45" s="13" t="b">
        <f t="shared" ca="1" si="3"/>
        <v>1</v>
      </c>
      <c r="Q45" s="8" t="str">
        <f ca="1">IFERROR(__xludf.DUMMYFUNCTION("""COMPUTED_VALUE"""),"KVIESIS")</f>
        <v>KVIESIS</v>
      </c>
      <c r="R45" s="13" t="b">
        <f t="shared" ca="1" si="4"/>
        <v>0</v>
      </c>
      <c r="T45" s="8" t="str">
        <f ca="1">IFERROR(__xludf.DUMMYFUNCTION("""COMPUTED_VALUE"""),"TOBĀGO")</f>
        <v>TOBĀGO</v>
      </c>
      <c r="U45" s="13" t="b">
        <f t="shared" ca="1" si="5"/>
        <v>1</v>
      </c>
      <c r="W45" s="8" t="str">
        <f ca="1">IFERROR(__xludf.DUMMYFUNCTION("""COMPUTED_VALUE"""),"ROKĀS")</f>
        <v>ROKĀS</v>
      </c>
      <c r="X45" s="13" t="b">
        <f t="shared" ca="1" si="6"/>
        <v>1</v>
      </c>
      <c r="Z45" s="8" t="str">
        <f ca="1">IFERROR(__xludf.DUMMYFUNCTION("""COMPUTED_VALUE"""),"AIZKRAUKLE")</f>
        <v>AIZKRAUKLE</v>
      </c>
      <c r="AA45" s="13" t="b">
        <f t="shared" ca="1" si="7"/>
        <v>0</v>
      </c>
      <c r="AC45" s="8" t="str">
        <f ca="1">IFERROR(__xludf.DUMMYFUNCTION("""COMPUTED_VALUE"""),"SALATE")</f>
        <v>SALATE</v>
      </c>
      <c r="AD45" s="13" t="b">
        <f t="shared" ca="1" si="8"/>
        <v>1</v>
      </c>
      <c r="AF45" s="8" t="str">
        <f ca="1">IFERROR(__xludf.DUMMYFUNCTION("""COMPUTED_VALUE"""),"MIERS")</f>
        <v>MIERS</v>
      </c>
      <c r="AG45" s="13" t="b">
        <f t="shared" ca="1" si="9"/>
        <v>1</v>
      </c>
      <c r="AI45" s="8" t="str">
        <f ca="1">IFERROR(__xludf.DUMMYFUNCTION("""COMPUTED_VALUE"""),"DIBINĀJA")</f>
        <v>DIBINĀJA</v>
      </c>
      <c r="AJ45" s="13" t="b">
        <f t="shared" ca="1" si="10"/>
        <v>0</v>
      </c>
      <c r="AK45" s="7" t="b">
        <v>1</v>
      </c>
      <c r="AL45" s="8" t="str">
        <f ca="1">IFERROR(__xludf.DUMMYFUNCTION("""COMPUTED_VALUE"""),"NODABA")</f>
        <v>NODABA</v>
      </c>
      <c r="AM45" s="13" t="b">
        <f t="shared" ca="1" si="11"/>
        <v>1</v>
      </c>
      <c r="AO45" s="8" t="b">
        <f ca="1">COUNTIF(Rezultāti!C:C,G45)&gt;0</f>
        <v>1</v>
      </c>
    </row>
    <row r="46" spans="2:41" hidden="1" x14ac:dyDescent="0.25">
      <c r="B46" s="8" t="str">
        <f ca="1">IF(C46="","",IF(COUNTIF(Rezultāti!C:C,C46)=0,"Labot",""))</f>
        <v/>
      </c>
      <c r="C46" s="8" t="str">
        <f t="shared" ca="1" si="0"/>
        <v/>
      </c>
      <c r="D46" s="8">
        <f t="shared" ca="1" si="1"/>
        <v>5</v>
      </c>
      <c r="E46" s="12">
        <f ca="1">IFERROR(__xludf.DUMMYFUNCTION("""COMPUTED_VALUE"""),45603.5291011574)</f>
        <v>45603.529101157401</v>
      </c>
      <c r="F46" s="8" t="str">
        <f ca="1">IFERROR(__xludf.DUMMYFUNCTION("""COMPUTED_VALUE"""),"Rīgas Valsts vācu ģimnāzija ")</f>
        <v xml:space="preserve">Rīgas Valsts vācu ģimnāzija </v>
      </c>
      <c r="G46" s="8" t="str">
        <f ca="1">IFERROR(__xludf.DUMMYFUNCTION("""COMPUTED_VALUE"""),"MAP")</f>
        <v>MAP</v>
      </c>
      <c r="H46" s="8" t="str">
        <f ca="1">IFERROR(__xludf.DUMMYFUNCTION("""COMPUTED_VALUE"""),"Maija Seratinska")</f>
        <v>Maija Seratinska</v>
      </c>
      <c r="I46" s="8" t="str">
        <f ca="1">IFERROR(__xludf.DUMMYFUNCTION("""COMPUTED_VALUE"""),"Adele Irbe zeidaka")</f>
        <v>Adele Irbe zeidaka</v>
      </c>
      <c r="J46" s="8" t="str">
        <f ca="1">IFERROR(__xludf.DUMMYFUNCTION("""COMPUTED_VALUE"""),"Pauls Ādamsons ")</f>
        <v xml:space="preserve">Pauls Ādamsons </v>
      </c>
      <c r="K46" s="8"/>
      <c r="L46" s="13" t="b">
        <f t="shared" si="2"/>
        <v>0</v>
      </c>
      <c r="N46" s="8" t="str">
        <f ca="1">IFERROR(__xludf.DUMMYFUNCTION("""COMPUTED_VALUE"""),"Zaiga")</f>
        <v>Zaiga</v>
      </c>
      <c r="O46" s="13" t="b">
        <f t="shared" ca="1" si="3"/>
        <v>1</v>
      </c>
      <c r="Q46" s="8" t="str">
        <f ca="1">IFERROR(__xludf.DUMMYFUNCTION("""COMPUTED_VALUE"""),"Sapieni")</f>
        <v>Sapieni</v>
      </c>
      <c r="R46" s="13" t="b">
        <f t="shared" ca="1" si="4"/>
        <v>0</v>
      </c>
      <c r="T46" s="8"/>
      <c r="U46" s="13" t="b">
        <f t="shared" si="5"/>
        <v>0</v>
      </c>
      <c r="W46" s="8" t="str">
        <f ca="1">IFERROR(__xludf.DUMMYFUNCTION("""COMPUTED_VALUE"""),"Rokās")</f>
        <v>Rokās</v>
      </c>
      <c r="X46" s="13" t="b">
        <f t="shared" ca="1" si="6"/>
        <v>1</v>
      </c>
      <c r="Z46" s="8"/>
      <c r="AA46" s="13" t="b">
        <f t="shared" si="7"/>
        <v>0</v>
      </c>
      <c r="AC46" s="8" t="str">
        <f ca="1">IFERROR(__xludf.DUMMYFUNCTION("""COMPUTED_VALUE"""),"Salate")</f>
        <v>Salate</v>
      </c>
      <c r="AD46" s="13" t="b">
        <f t="shared" ca="1" si="8"/>
        <v>1</v>
      </c>
      <c r="AF46" s="8" t="str">
        <f ca="1">IFERROR(__xludf.DUMMYFUNCTION("""COMPUTED_VALUE"""),"Radio")</f>
        <v>Radio</v>
      </c>
      <c r="AG46" s="13" t="b">
        <f t="shared" ca="1" si="9"/>
        <v>0</v>
      </c>
      <c r="AI46" s="8" t="str">
        <f ca="1">IFERROR(__xludf.DUMMYFUNCTION("""COMPUTED_VALUE"""),"Dibināta")</f>
        <v>Dibināta</v>
      </c>
      <c r="AJ46" s="13" t="b">
        <f t="shared" ca="1" si="10"/>
        <v>1</v>
      </c>
      <c r="AK46" s="7" t="b">
        <v>1</v>
      </c>
      <c r="AL46" s="8" t="str">
        <f ca="1">IFERROR(__xludf.DUMMYFUNCTION("""COMPUTED_VALUE"""),"Nodaba")</f>
        <v>Nodaba</v>
      </c>
      <c r="AM46" s="13" t="b">
        <f t="shared" ca="1" si="11"/>
        <v>1</v>
      </c>
      <c r="AO46" s="8" t="b">
        <f ca="1">COUNTIF(Rezultāti!C:C,G46)&gt;0</f>
        <v>1</v>
      </c>
    </row>
    <row r="47" spans="2:41" hidden="1" x14ac:dyDescent="0.25">
      <c r="B47" s="8" t="str">
        <f ca="1">IF(C47="","",IF(COUNTIF(Rezultāti!C:C,C47)=0,"Labot",""))</f>
        <v>Labot</v>
      </c>
      <c r="C47" s="8" t="str">
        <f t="shared" ca="1" si="0"/>
        <v xml:space="preserve">Komandas nosaukums </v>
      </c>
      <c r="D47" s="8">
        <f t="shared" ca="1" si="1"/>
        <v>8</v>
      </c>
      <c r="E47" s="12">
        <f ca="1">IFERROR(__xludf.DUMMYFUNCTION("""COMPUTED_VALUE"""),45603.5293046875)</f>
        <v>45603.529304687501</v>
      </c>
      <c r="F47" s="8" t="str">
        <f ca="1">IFERROR(__xludf.DUMMYFUNCTION("""COMPUTED_VALUE"""),"Rīgas 13. Vidusskola")</f>
        <v>Rīgas 13. Vidusskola</v>
      </c>
      <c r="G47" s="8" t="str">
        <f ca="1">IFERROR(__xludf.DUMMYFUNCTION("""COMPUTED_VALUE"""),"Komandas nosaukums ")</f>
        <v xml:space="preserve">Komandas nosaukums </v>
      </c>
      <c r="H47" s="8" t="str">
        <f ca="1">IFERROR(__xludf.DUMMYFUNCTION("""COMPUTED_VALUE"""),"Ričards Čakšs ")</f>
        <v xml:space="preserve">Ričards Čakšs </v>
      </c>
      <c r="I47" s="8" t="str">
        <f ca="1">IFERROR(__xludf.DUMMYFUNCTION("""COMPUTED_VALUE"""),"Normans Andrašuns ")</f>
        <v xml:space="preserve">Normans Andrašuns </v>
      </c>
      <c r="J47" s="8" t="str">
        <f ca="1">IFERROR(__xludf.DUMMYFUNCTION("""COMPUTED_VALUE"""),"Romans Vlasovs ")</f>
        <v xml:space="preserve">Romans Vlasovs </v>
      </c>
      <c r="K47" s="8" t="str">
        <f ca="1">IFERROR(__xludf.DUMMYFUNCTION("""COMPUTED_VALUE"""),"Doms")</f>
        <v>Doms</v>
      </c>
      <c r="L47" s="13" t="b">
        <f t="shared" ca="1" si="2"/>
        <v>1</v>
      </c>
      <c r="N47" s="8" t="str">
        <f ca="1">IFERROR(__xludf.DUMMYFUNCTION("""COMPUTED_VALUE"""),"Zaiga")</f>
        <v>Zaiga</v>
      </c>
      <c r="O47" s="13" t="b">
        <f t="shared" ca="1" si="3"/>
        <v>1</v>
      </c>
      <c r="Q47" s="8" t="str">
        <f ca="1">IFERROR(__xludf.DUMMYFUNCTION("""COMPUTED_VALUE"""),"Pilsoņi ")</f>
        <v xml:space="preserve">Pilsoņi </v>
      </c>
      <c r="R47" s="13" t="b">
        <f t="shared" ca="1" si="4"/>
        <v>0</v>
      </c>
      <c r="S47" s="7" t="b">
        <v>1</v>
      </c>
      <c r="T47" s="8"/>
      <c r="U47" s="13" t="b">
        <f t="shared" si="5"/>
        <v>0</v>
      </c>
      <c r="W47" s="8" t="str">
        <f ca="1">IFERROR(__xludf.DUMMYFUNCTION("""COMPUTED_VALUE"""),"Rokās")</f>
        <v>Rokās</v>
      </c>
      <c r="X47" s="13" t="b">
        <f t="shared" ca="1" si="6"/>
        <v>1</v>
      </c>
      <c r="Z47" s="8"/>
      <c r="AA47" s="13" t="b">
        <f t="shared" si="7"/>
        <v>0</v>
      </c>
      <c r="AC47" s="8" t="str">
        <f ca="1">IFERROR(__xludf.DUMMYFUNCTION("""COMPUTED_VALUE"""),"Salate")</f>
        <v>Salate</v>
      </c>
      <c r="AD47" s="13" t="b">
        <f t="shared" ca="1" si="8"/>
        <v>1</v>
      </c>
      <c r="AF47" s="8" t="str">
        <f ca="1">IFERROR(__xludf.DUMMYFUNCTION("""COMPUTED_VALUE"""),"Miers")</f>
        <v>Miers</v>
      </c>
      <c r="AG47" s="13" t="b">
        <f t="shared" ca="1" si="9"/>
        <v>1</v>
      </c>
      <c r="AI47" s="8" t="str">
        <f ca="1">IFERROR(__xludf.DUMMYFUNCTION("""COMPUTED_VALUE"""),"Dibināta ")</f>
        <v xml:space="preserve">Dibināta </v>
      </c>
      <c r="AJ47" s="13" t="b">
        <f t="shared" ca="1" si="10"/>
        <v>0</v>
      </c>
      <c r="AK47" s="7" t="b">
        <v>1</v>
      </c>
      <c r="AL47" s="8" t="str">
        <f ca="1">IFERROR(__xludf.DUMMYFUNCTION("""COMPUTED_VALUE"""),"Nodaba")</f>
        <v>Nodaba</v>
      </c>
      <c r="AM47" s="13" t="b">
        <f t="shared" ca="1" si="11"/>
        <v>1</v>
      </c>
      <c r="AO47" s="8" t="b">
        <f ca="1">COUNTIF(Rezultāti!C:C,G47)&gt;0</f>
        <v>0</v>
      </c>
    </row>
    <row r="48" spans="2:41" x14ac:dyDescent="0.25">
      <c r="B48" s="8" t="str">
        <f ca="1">IF(C48="","",IF(COUNTIF(Rezultāti!C:C,C48)=0,"Labot",""))</f>
        <v/>
      </c>
      <c r="C48" s="8" t="str">
        <f t="shared" ca="1" si="0"/>
        <v>Mums kļūda</v>
      </c>
      <c r="D48" s="8">
        <f t="shared" ca="1" si="1"/>
        <v>8</v>
      </c>
      <c r="E48" s="12">
        <f ca="1">IFERROR(__xludf.DUMMYFUNCTION("""COMPUTED_VALUE"""),45603.5297069444)</f>
        <v>45603.529706944399</v>
      </c>
      <c r="F48" s="8" t="str">
        <f ca="1">IFERROR(__xludf.DUMMYFUNCTION("""COMPUTED_VALUE"""),"Rīgas Valsts 1. Ģimnāzija")</f>
        <v>Rīgas Valsts 1. Ģimnāzija</v>
      </c>
      <c r="G48" s="8" t="str">
        <f ca="1">IFERROR(__xludf.DUMMYFUNCTION("""COMPUTED_VALUE"""),"Mums kļūda")</f>
        <v>Mums kļūda</v>
      </c>
      <c r="H48" s="8" t="str">
        <f ca="1">IFERROR(__xludf.DUMMYFUNCTION("""COMPUTED_VALUE"""),"Eliāna Meiere")</f>
        <v>Eliāna Meiere</v>
      </c>
      <c r="I48" s="8" t="str">
        <f ca="1">IFERROR(__xludf.DUMMYFUNCTION("""COMPUTED_VALUE"""),"Lika Zacmane ")</f>
        <v xml:space="preserve">Lika Zacmane </v>
      </c>
      <c r="J48" s="8" t="str">
        <f ca="1">IFERROR(__xludf.DUMMYFUNCTION("""COMPUTED_VALUE"""),"Marija Savkina ")</f>
        <v xml:space="preserve">Marija Savkina </v>
      </c>
      <c r="K48" s="8" t="str">
        <f ca="1">IFERROR(__xludf.DUMMYFUNCTION("""COMPUTED_VALUE"""),"Amfiteātris")</f>
        <v>Amfiteātris</v>
      </c>
      <c r="L48" s="13" t="b">
        <f t="shared" ca="1" si="2"/>
        <v>0</v>
      </c>
      <c r="N48" s="8" t="str">
        <f ca="1">IFERROR(__xludf.DUMMYFUNCTION("""COMPUTED_VALUE"""),"Zaiga ")</f>
        <v xml:space="preserve">Zaiga </v>
      </c>
      <c r="O48" s="13" t="b">
        <f t="shared" ca="1" si="3"/>
        <v>0</v>
      </c>
      <c r="P48" s="7" t="b">
        <v>1</v>
      </c>
      <c r="Q48" s="8" t="str">
        <f ca="1">IFERROR(__xludf.DUMMYFUNCTION("""COMPUTED_VALUE"""),"Zilonis")</f>
        <v>Zilonis</v>
      </c>
      <c r="R48" s="13" t="b">
        <f t="shared" ca="1" si="4"/>
        <v>0</v>
      </c>
      <c r="T48" s="8" t="str">
        <f ca="1">IFERROR(__xludf.DUMMYFUNCTION("""COMPUTED_VALUE"""),"Tobāgo")</f>
        <v>Tobāgo</v>
      </c>
      <c r="U48" s="13" t="b">
        <f t="shared" ca="1" si="5"/>
        <v>1</v>
      </c>
      <c r="W48" s="8" t="str">
        <f ca="1">IFERROR(__xludf.DUMMYFUNCTION("""COMPUTED_VALUE"""),"Rokās")</f>
        <v>Rokās</v>
      </c>
      <c r="X48" s="13" t="b">
        <f t="shared" ca="1" si="6"/>
        <v>1</v>
      </c>
      <c r="Z48" s="8" t="str">
        <f ca="1">IFERROR(__xludf.DUMMYFUNCTION("""COMPUTED_VALUE"""),"Salacgrīva")</f>
        <v>Salacgrīva</v>
      </c>
      <c r="AA48" s="13" t="b">
        <f t="shared" ca="1" si="7"/>
        <v>1</v>
      </c>
      <c r="AC48" s="8" t="str">
        <f ca="1">IFERROR(__xludf.DUMMYFUNCTION("""COMPUTED_VALUE"""),"Salate ")</f>
        <v xml:space="preserve">Salate </v>
      </c>
      <c r="AD48" s="13" t="b">
        <f t="shared" ca="1" si="8"/>
        <v>0</v>
      </c>
      <c r="AE48" s="7" t="b">
        <v>1</v>
      </c>
      <c r="AF48" s="8" t="str">
        <f ca="1">IFERROR(__xludf.DUMMYFUNCTION("""COMPUTED_VALUE"""),"Miers ")</f>
        <v xml:space="preserve">Miers </v>
      </c>
      <c r="AG48" s="13" t="b">
        <f t="shared" ca="1" si="9"/>
        <v>0</v>
      </c>
      <c r="AH48" s="7" t="b">
        <v>1</v>
      </c>
      <c r="AI48" s="8" t="str">
        <f ca="1">IFERROR(__xludf.DUMMYFUNCTION("""COMPUTED_VALUE"""),"Dibināta ")</f>
        <v xml:space="preserve">Dibināta </v>
      </c>
      <c r="AJ48" s="13" t="b">
        <f t="shared" ca="1" si="10"/>
        <v>0</v>
      </c>
      <c r="AK48" s="7" t="b">
        <v>1</v>
      </c>
      <c r="AL48" s="8" t="str">
        <f ca="1">IFERROR(__xludf.DUMMYFUNCTION("""COMPUTED_VALUE"""),"Nodaba ")</f>
        <v xml:space="preserve">Nodaba </v>
      </c>
      <c r="AM48" s="13" t="b">
        <f t="shared" ca="1" si="11"/>
        <v>0</v>
      </c>
      <c r="AN48" s="7" t="b">
        <v>1</v>
      </c>
      <c r="AO48" s="8" t="b">
        <f ca="1">COUNTIF(Rezultāti!C:C,G48)&gt;0</f>
        <v>1</v>
      </c>
    </row>
    <row r="49" spans="2:41" hidden="1" x14ac:dyDescent="0.25">
      <c r="B49" s="8" t="str">
        <f ca="1">IF(C49="","",IF(COUNTIF(Rezultāti!C:C,C49)=0,"Labot",""))</f>
        <v/>
      </c>
      <c r="C49" s="8" t="str">
        <f t="shared" ca="1" si="0"/>
        <v/>
      </c>
      <c r="D49" s="8">
        <f t="shared" ca="1" si="1"/>
        <v>5</v>
      </c>
      <c r="E49" s="12">
        <f ca="1">IFERROR(__xludf.DUMMYFUNCTION("""COMPUTED_VALUE"""),45603.5297794444)</f>
        <v>45603.529779444398</v>
      </c>
      <c r="F49" s="8" t="str">
        <f ca="1">IFERROR(__xludf.DUMMYFUNCTION("""COMPUTED_VALUE"""),"Rīgas Lietuviešu vidusskola")</f>
        <v>Rīgas Lietuviešu vidusskola</v>
      </c>
      <c r="G49" s="8" t="str">
        <f ca="1">IFERROR(__xludf.DUMMYFUNCTION("""COMPUTED_VALUE"""),"Atjautības avoti")</f>
        <v>Atjautības avoti</v>
      </c>
      <c r="H49" s="8" t="str">
        <f ca="1">IFERROR(__xludf.DUMMYFUNCTION("""COMPUTED_VALUE"""),"Elīza Loca")</f>
        <v>Elīza Loca</v>
      </c>
      <c r="I49" s="8" t="str">
        <f ca="1">IFERROR(__xludf.DUMMYFUNCTION("""COMPUTED_VALUE"""),"Frančeska Stafecka")</f>
        <v>Frančeska Stafecka</v>
      </c>
      <c r="J49" s="8" t="str">
        <f ca="1">IFERROR(__xludf.DUMMYFUNCTION("""COMPUTED_VALUE"""),"Paula Burgmane")</f>
        <v>Paula Burgmane</v>
      </c>
      <c r="K49" s="8"/>
      <c r="L49" s="13" t="b">
        <f t="shared" si="2"/>
        <v>0</v>
      </c>
      <c r="N49" s="8" t="str">
        <f ca="1">IFERROR(__xludf.DUMMYFUNCTION("""COMPUTED_VALUE"""),"Zaiga")</f>
        <v>Zaiga</v>
      </c>
      <c r="O49" s="13" t="b">
        <f t="shared" ca="1" si="3"/>
        <v>1</v>
      </c>
      <c r="Q49" s="8"/>
      <c r="R49" s="13" t="b">
        <f t="shared" si="4"/>
        <v>0</v>
      </c>
      <c r="T49" s="8" t="str">
        <f ca="1">IFERROR(__xludf.DUMMYFUNCTION("""COMPUTED_VALUE"""),"tobāgo")</f>
        <v>tobāgo</v>
      </c>
      <c r="U49" s="13" t="b">
        <f t="shared" ca="1" si="5"/>
        <v>1</v>
      </c>
      <c r="W49" s="8" t="str">
        <f ca="1">IFERROR(__xludf.DUMMYFUNCTION("""COMPUTED_VALUE"""),"rokās")</f>
        <v>rokās</v>
      </c>
      <c r="X49" s="13" t="b">
        <f t="shared" ca="1" si="6"/>
        <v>1</v>
      </c>
      <c r="Z49" s="8" t="str">
        <f ca="1">IFERROR(__xludf.DUMMYFUNCTION("""COMPUTED_VALUE"""),"kuģniecība")</f>
        <v>kuģniecība</v>
      </c>
      <c r="AA49" s="13" t="b">
        <f t="shared" ca="1" si="7"/>
        <v>0</v>
      </c>
      <c r="AC49" s="8" t="str">
        <f ca="1">IFERROR(__xludf.DUMMYFUNCTION("""COMPUTED_VALUE"""),"līstes")</f>
        <v>līstes</v>
      </c>
      <c r="AD49" s="13" t="b">
        <f t="shared" ca="1" si="8"/>
        <v>0</v>
      </c>
      <c r="AF49" s="8"/>
      <c r="AG49" s="13" t="b">
        <f t="shared" si="9"/>
        <v>0</v>
      </c>
      <c r="AI49" s="8" t="str">
        <f ca="1">IFERROR(__xludf.DUMMYFUNCTION("""COMPUTED_VALUE"""),"dibināta")</f>
        <v>dibināta</v>
      </c>
      <c r="AJ49" s="13" t="b">
        <f t="shared" ca="1" si="10"/>
        <v>1</v>
      </c>
      <c r="AK49" s="7" t="b">
        <v>1</v>
      </c>
      <c r="AL49" s="8" t="str">
        <f ca="1">IFERROR(__xludf.DUMMYFUNCTION("""COMPUTED_VALUE"""),"nodaba")</f>
        <v>nodaba</v>
      </c>
      <c r="AM49" s="13" t="b">
        <f t="shared" ca="1" si="11"/>
        <v>1</v>
      </c>
      <c r="AO49" s="8" t="b">
        <f ca="1">COUNTIF(Rezultāti!C:C,G49)&gt;0</f>
        <v>1</v>
      </c>
    </row>
    <row r="50" spans="2:41" x14ac:dyDescent="0.25">
      <c r="B50" s="8" t="str">
        <f>IF(C50="","",IF(COUNTIF(Rezultāti!C:C,C50)=0,"Labot",""))</f>
        <v/>
      </c>
      <c r="C50" s="7" t="s">
        <v>5</v>
      </c>
      <c r="D50" s="8">
        <f t="shared" ca="1" si="1"/>
        <v>8</v>
      </c>
      <c r="E50" s="12">
        <f ca="1">IFERROR(__xludf.DUMMYFUNCTION("""COMPUTED_VALUE"""),45603.5306706481)</f>
        <v>45603.530670648099</v>
      </c>
      <c r="F50" s="8" t="str">
        <f ca="1">IFERROR(__xludf.DUMMYFUNCTION("""COMPUTED_VALUE"""),"Rīgas 13. Vidusskola ")</f>
        <v xml:space="preserve">Rīgas 13. Vidusskola </v>
      </c>
      <c r="G50" s="8" t="str">
        <f ca="1">IFERROR(__xludf.DUMMYFUNCTION("""COMPUTED_VALUE"""),"Komandas nosaukums ")</f>
        <v xml:space="preserve">Komandas nosaukums </v>
      </c>
      <c r="H50" s="8" t="str">
        <f ca="1">IFERROR(__xludf.DUMMYFUNCTION("""COMPUTED_VALUE"""),"Ričards Čakšs ")</f>
        <v xml:space="preserve">Ričards Čakšs </v>
      </c>
      <c r="I50" s="8" t="str">
        <f ca="1">IFERROR(__xludf.DUMMYFUNCTION("""COMPUTED_VALUE"""),"Normans Andrašuns ")</f>
        <v xml:space="preserve">Normans Andrašuns </v>
      </c>
      <c r="J50" s="8" t="str">
        <f ca="1">IFERROR(__xludf.DUMMYFUNCTION("""COMPUTED_VALUE"""),"Romans Vlasovs ")</f>
        <v xml:space="preserve">Romans Vlasovs </v>
      </c>
      <c r="K50" s="8" t="str">
        <f ca="1">IFERROR(__xludf.DUMMYFUNCTION("""COMPUTED_VALUE"""),"Doms")</f>
        <v>Doms</v>
      </c>
      <c r="L50" s="13" t="b">
        <f t="shared" ca="1" si="2"/>
        <v>1</v>
      </c>
      <c r="N50" s="8" t="str">
        <f ca="1">IFERROR(__xludf.DUMMYFUNCTION("""COMPUTED_VALUE"""),"Zaiga")</f>
        <v>Zaiga</v>
      </c>
      <c r="O50" s="13" t="b">
        <f t="shared" ca="1" si="3"/>
        <v>1</v>
      </c>
      <c r="Q50" s="8" t="str">
        <f ca="1">IFERROR(__xludf.DUMMYFUNCTION("""COMPUTED_VALUE"""),"Pilsoņi ")</f>
        <v xml:space="preserve">Pilsoņi </v>
      </c>
      <c r="R50" s="13" t="b">
        <f t="shared" ca="1" si="4"/>
        <v>0</v>
      </c>
      <c r="S50" s="7" t="b">
        <v>1</v>
      </c>
      <c r="T50" s="8"/>
      <c r="U50" s="13" t="b">
        <f t="shared" si="5"/>
        <v>0</v>
      </c>
      <c r="W50" s="8" t="str">
        <f ca="1">IFERROR(__xludf.DUMMYFUNCTION("""COMPUTED_VALUE"""),"Rokās")</f>
        <v>Rokās</v>
      </c>
      <c r="X50" s="13" t="b">
        <f t="shared" ca="1" si="6"/>
        <v>1</v>
      </c>
      <c r="Z50" s="8" t="str">
        <f ca="1">IFERROR(__xludf.DUMMYFUNCTION("""COMPUTED_VALUE"""),"Aizkraukle")</f>
        <v>Aizkraukle</v>
      </c>
      <c r="AA50" s="13" t="b">
        <f t="shared" ca="1" si="7"/>
        <v>0</v>
      </c>
      <c r="AC50" s="8" t="str">
        <f ca="1">IFERROR(__xludf.DUMMYFUNCTION("""COMPUTED_VALUE"""),"Salate")</f>
        <v>Salate</v>
      </c>
      <c r="AD50" s="13" t="b">
        <f t="shared" ca="1" si="8"/>
        <v>1</v>
      </c>
      <c r="AF50" s="8" t="str">
        <f ca="1">IFERROR(__xludf.DUMMYFUNCTION("""COMPUTED_VALUE"""),"Miers")</f>
        <v>Miers</v>
      </c>
      <c r="AG50" s="13" t="b">
        <f t="shared" ca="1" si="9"/>
        <v>1</v>
      </c>
      <c r="AI50" s="8" t="str">
        <f ca="1">IFERROR(__xludf.DUMMYFUNCTION("""COMPUTED_VALUE"""),"Dibināta ")</f>
        <v xml:space="preserve">Dibināta </v>
      </c>
      <c r="AJ50" s="13" t="b">
        <f t="shared" ca="1" si="10"/>
        <v>0</v>
      </c>
      <c r="AK50" s="7" t="b">
        <v>1</v>
      </c>
      <c r="AL50" s="8" t="str">
        <f ca="1">IFERROR(__xludf.DUMMYFUNCTION("""COMPUTED_VALUE"""),"Nodaba")</f>
        <v>Nodaba</v>
      </c>
      <c r="AM50" s="13" t="b">
        <f t="shared" ca="1" si="11"/>
        <v>1</v>
      </c>
      <c r="AO50" s="8" t="b">
        <f ca="1">COUNTIF(Rezultāti!C:C,G50)&gt;0</f>
        <v>0</v>
      </c>
    </row>
    <row r="51" spans="2:41" hidden="1" x14ac:dyDescent="0.25">
      <c r="B51" s="8" t="str">
        <f ca="1">IF(C51="","",IF(COUNTIF(Rezultāti!C:C,C51)=0,"Labot",""))</f>
        <v/>
      </c>
      <c r="C51" s="8" t="str">
        <f t="shared" ref="C51:C56" ca="1" si="12">IF(COUNTIF(C52:C248,G51)=0,G51,"")</f>
        <v/>
      </c>
      <c r="D51" s="8">
        <f t="shared" ca="1" si="1"/>
        <v>4</v>
      </c>
      <c r="E51" s="12">
        <f ca="1">IFERROR(__xludf.DUMMYFUNCTION("""COMPUTED_VALUE"""),45603.530932199)</f>
        <v>45603.530932198999</v>
      </c>
      <c r="F51" s="8" t="str">
        <f ca="1">IFERROR(__xludf.DUMMYFUNCTION("""COMPUTED_VALUE"""),"Rīgas Valsts 2.ģimnāzija")</f>
        <v>Rīgas Valsts 2.ģimnāzija</v>
      </c>
      <c r="G51" s="8" t="str">
        <f ca="1">IFERROR(__xludf.DUMMYFUNCTION("""COMPUTED_VALUE"""),"Skill issue")</f>
        <v>Skill issue</v>
      </c>
      <c r="H51" s="8" t="str">
        <f ca="1">IFERROR(__xludf.DUMMYFUNCTION("""COMPUTED_VALUE"""),"Jānis Edvarts Lācis")</f>
        <v>Jānis Edvarts Lācis</v>
      </c>
      <c r="I51" s="8" t="str">
        <f ca="1">IFERROR(__xludf.DUMMYFUNCTION("""COMPUTED_VALUE"""),"Ralfs Vītols")</f>
        <v>Ralfs Vītols</v>
      </c>
      <c r="J51" s="8" t="str">
        <f ca="1">IFERROR(__xludf.DUMMYFUNCTION("""COMPUTED_VALUE"""),"Andris Rībens")</f>
        <v>Andris Rībens</v>
      </c>
      <c r="K51" s="8" t="str">
        <f ca="1">IFERROR(__xludf.DUMMYFUNCTION("""COMPUTED_VALUE"""),"Bastions")</f>
        <v>Bastions</v>
      </c>
      <c r="L51" s="13" t="b">
        <f t="shared" ca="1" si="2"/>
        <v>0</v>
      </c>
      <c r="N51" s="8" t="str">
        <f ca="1">IFERROR(__xludf.DUMMYFUNCTION("""COMPUTED_VALUE"""),"Evita")</f>
        <v>Evita</v>
      </c>
      <c r="O51" s="13" t="b">
        <f t="shared" ca="1" si="3"/>
        <v>0</v>
      </c>
      <c r="Q51" s="8"/>
      <c r="R51" s="13" t="b">
        <f t="shared" si="4"/>
        <v>0</v>
      </c>
      <c r="T51" s="8" t="str">
        <f ca="1">IFERROR(__xludf.DUMMYFUNCTION("""COMPUTED_VALUE"""),"Ciltis")</f>
        <v>Ciltis</v>
      </c>
      <c r="U51" s="13" t="b">
        <f t="shared" ca="1" si="5"/>
        <v>0</v>
      </c>
      <c r="W51" s="8" t="str">
        <f ca="1">IFERROR(__xludf.DUMMYFUNCTION("""COMPUTED_VALUE"""),"Rokās")</f>
        <v>Rokās</v>
      </c>
      <c r="X51" s="13" t="b">
        <f t="shared" ca="1" si="6"/>
        <v>1</v>
      </c>
      <c r="Z51" s="8" t="str">
        <f ca="1">IFERROR(__xludf.DUMMYFUNCTION("""COMPUTED_VALUE"""),"Saulkrasti")</f>
        <v>Saulkrasti</v>
      </c>
      <c r="AA51" s="13" t="b">
        <f t="shared" ca="1" si="7"/>
        <v>0</v>
      </c>
      <c r="AC51" s="8" t="str">
        <f ca="1">IFERROR(__xludf.DUMMYFUNCTION("""COMPUTED_VALUE"""),"Salate")</f>
        <v>Salate</v>
      </c>
      <c r="AD51" s="13" t="b">
        <f t="shared" ca="1" si="8"/>
        <v>1</v>
      </c>
      <c r="AF51" s="8"/>
      <c r="AG51" s="13" t="b">
        <f t="shared" si="9"/>
        <v>0</v>
      </c>
      <c r="AI51" s="8" t="str">
        <f ca="1">IFERROR(__xludf.DUMMYFUNCTION("""COMPUTED_VALUE"""),"Dibināta")</f>
        <v>Dibināta</v>
      </c>
      <c r="AJ51" s="13" t="b">
        <f t="shared" ca="1" si="10"/>
        <v>1</v>
      </c>
      <c r="AK51" s="7" t="b">
        <v>1</v>
      </c>
      <c r="AL51" s="8" t="str">
        <f ca="1">IFERROR(__xludf.DUMMYFUNCTION("""COMPUTED_VALUE"""),"Nodaba")</f>
        <v>Nodaba</v>
      </c>
      <c r="AM51" s="13" t="b">
        <f t="shared" ca="1" si="11"/>
        <v>1</v>
      </c>
      <c r="AO51" s="8" t="b">
        <f ca="1">COUNTIF(Rezultāti!C:C,G51)&gt;0</f>
        <v>1</v>
      </c>
    </row>
    <row r="52" spans="2:41" x14ac:dyDescent="0.25">
      <c r="B52" s="8" t="str">
        <f ca="1">IF(C52="","",IF(COUNTIF(Rezultāti!C:C,C52)=0,"Labot",""))</f>
        <v/>
      </c>
      <c r="C52" s="8" t="str">
        <f t="shared" ca="1" si="12"/>
        <v>lg96</v>
      </c>
      <c r="D52" s="8">
        <f t="shared" ca="1" si="1"/>
        <v>2</v>
      </c>
      <c r="E52" s="12">
        <f ca="1">IFERROR(__xludf.DUMMYFUNCTION("""COMPUTED_VALUE"""),45603.5325549074)</f>
        <v>45603.532554907397</v>
      </c>
      <c r="F52" s="8" t="str">
        <f ca="1">IFERROR(__xludf.DUMMYFUNCTION("""COMPUTED_VALUE"""),"Rigas 96. vidusskola ")</f>
        <v xml:space="preserve">Rigas 96. vidusskola </v>
      </c>
      <c r="G52" s="8" t="str">
        <f ca="1">IFERROR(__xludf.DUMMYFUNCTION("""COMPUTED_VALUE"""),"lg96")</f>
        <v>lg96</v>
      </c>
      <c r="H52" s="8" t="str">
        <f ca="1">IFERROR(__xludf.DUMMYFUNCTION("""COMPUTED_VALUE"""),"Jelisejs Bumažkins")</f>
        <v>Jelisejs Bumažkins</v>
      </c>
      <c r="I52" s="8" t="str">
        <f ca="1">IFERROR(__xludf.DUMMYFUNCTION("""COMPUTED_VALUE"""),"Darja Kolesnikova")</f>
        <v>Darja Kolesnikova</v>
      </c>
      <c r="J52" s="8" t="str">
        <f ca="1">IFERROR(__xludf.DUMMYFUNCTION("""COMPUTED_VALUE"""),"Katrina Maško")</f>
        <v>Katrina Maško</v>
      </c>
      <c r="K52" s="8" t="str">
        <f ca="1">IFERROR(__xludf.DUMMYFUNCTION("""COMPUTED_VALUE"""),"Skultes muiža")</f>
        <v>Skultes muiža</v>
      </c>
      <c r="L52" s="13" t="b">
        <f t="shared" ca="1" si="2"/>
        <v>0</v>
      </c>
      <c r="N52" s="8" t="str">
        <f ca="1">IFERROR(__xludf.DUMMYFUNCTION("""COMPUTED_VALUE"""),"Zaiga")</f>
        <v>Zaiga</v>
      </c>
      <c r="O52" s="13" t="b">
        <f t="shared" ca="1" si="3"/>
        <v>1</v>
      </c>
      <c r="Q52" s="8" t="str">
        <f ca="1">IFERROR(__xludf.DUMMYFUNCTION("""COMPUTED_VALUE"""),"Daugava")</f>
        <v>Daugava</v>
      </c>
      <c r="R52" s="13" t="b">
        <f t="shared" ca="1" si="4"/>
        <v>0</v>
      </c>
      <c r="T52" s="8" t="str">
        <f ca="1">IFERROR(__xludf.DUMMYFUNCTION("""COMPUTED_VALUE"""),"Gaisma")</f>
        <v>Gaisma</v>
      </c>
      <c r="U52" s="13" t="b">
        <f t="shared" ca="1" si="5"/>
        <v>0</v>
      </c>
      <c r="W52" s="8" t="str">
        <f ca="1">IFERROR(__xludf.DUMMYFUNCTION("""COMPUTED_VALUE"""),"rokās")</f>
        <v>rokās</v>
      </c>
      <c r="X52" s="13" t="b">
        <f t="shared" ca="1" si="6"/>
        <v>1</v>
      </c>
      <c r="Z52" s="8" t="str">
        <f ca="1">IFERROR(__xludf.DUMMYFUNCTION("""COMPUTED_VALUE"""),"Cietoksnis")</f>
        <v>Cietoksnis</v>
      </c>
      <c r="AA52" s="13" t="b">
        <f t="shared" ca="1" si="7"/>
        <v>0</v>
      </c>
      <c r="AC52" s="8" t="str">
        <f ca="1">IFERROR(__xludf.DUMMYFUNCTION("""COMPUTED_VALUE"""),"Salave")</f>
        <v>Salave</v>
      </c>
      <c r="AD52" s="13" t="b">
        <f t="shared" ca="1" si="8"/>
        <v>0</v>
      </c>
      <c r="AF52" s="8" t="str">
        <f ca="1">IFERROR(__xludf.DUMMYFUNCTION("""COMPUTED_VALUE"""),"Zvans")</f>
        <v>Zvans</v>
      </c>
      <c r="AG52" s="13" t="b">
        <f t="shared" ca="1" si="9"/>
        <v>0</v>
      </c>
      <c r="AI52" s="8" t="str">
        <f ca="1">IFERROR(__xludf.DUMMYFUNCTION("""COMPUTED_VALUE"""),"ienākumi")</f>
        <v>ienākumi</v>
      </c>
      <c r="AJ52" s="13" t="b">
        <f t="shared" ca="1" si="10"/>
        <v>0</v>
      </c>
      <c r="AL52" s="8" t="str">
        <f ca="1">IFERROR(__xludf.DUMMYFUNCTION("""COMPUTED_VALUE"""),"UNESCO")</f>
        <v>UNESCO</v>
      </c>
      <c r="AM52" s="13" t="b">
        <f t="shared" ca="1" si="11"/>
        <v>0</v>
      </c>
      <c r="AO52" s="8" t="b">
        <f ca="1">COUNTIF(Rezultāti!C:C,G52)&gt;0</f>
        <v>1</v>
      </c>
    </row>
    <row r="53" spans="2:41" x14ac:dyDescent="0.25">
      <c r="B53" s="8" t="str">
        <f ca="1">IF(C53="","",IF(COUNTIF(Rezultāti!C:C,C53)=0,"Labot",""))</f>
        <v/>
      </c>
      <c r="C53" s="8" t="str">
        <f t="shared" ca="1" si="12"/>
        <v>Sviestmaizītes</v>
      </c>
      <c r="D53" s="8">
        <f t="shared" ca="1" si="1"/>
        <v>3</v>
      </c>
      <c r="E53" s="12">
        <f ca="1">IFERROR(__xludf.DUMMYFUNCTION("""COMPUTED_VALUE"""),45603.5328307754)</f>
        <v>45603.532830775403</v>
      </c>
      <c r="F53" s="8" t="str">
        <f ca="1">IFERROR(__xludf.DUMMYFUNCTION("""COMPUTED_VALUE"""),"Rīgas Centra humanitārā vidusskola")</f>
        <v>Rīgas Centra humanitārā vidusskola</v>
      </c>
      <c r="G53" s="8" t="str">
        <f ca="1">IFERROR(__xludf.DUMMYFUNCTION("""COMPUTED_VALUE"""),"Sviestmaizītes")</f>
        <v>Sviestmaizītes</v>
      </c>
      <c r="H53" s="8" t="str">
        <f ca="1">IFERROR(__xludf.DUMMYFUNCTION("""COMPUTED_VALUE"""),"Kārlis Nigulis")</f>
        <v>Kārlis Nigulis</v>
      </c>
      <c r="I53" s="8" t="str">
        <f ca="1">IFERROR(__xludf.DUMMYFUNCTION("""COMPUTED_VALUE"""),"Amanda Gaiduka")</f>
        <v>Amanda Gaiduka</v>
      </c>
      <c r="J53" s="8" t="str">
        <f ca="1">IFERROR(__xludf.DUMMYFUNCTION("""COMPUTED_VALUE"""),"Hugo Lācis")</f>
        <v>Hugo Lācis</v>
      </c>
      <c r="K53" s="8" t="str">
        <f ca="1">IFERROR(__xludf.DUMMYFUNCTION("""COMPUTED_VALUE"""),"UNESCO")</f>
        <v>UNESCO</v>
      </c>
      <c r="L53" s="13" t="b">
        <f t="shared" ca="1" si="2"/>
        <v>0</v>
      </c>
      <c r="N53" s="8" t="str">
        <f ca="1">IFERROR(__xludf.DUMMYFUNCTION("""COMPUTED_VALUE"""),"Zaiga")</f>
        <v>Zaiga</v>
      </c>
      <c r="O53" s="13" t="b">
        <f t="shared" ca="1" si="3"/>
        <v>1</v>
      </c>
      <c r="Q53" s="8" t="str">
        <f ca="1">IFERROR(__xludf.DUMMYFUNCTION("""COMPUTED_VALUE"""),"Latvijā")</f>
        <v>Latvijā</v>
      </c>
      <c r="R53" s="13" t="b">
        <f t="shared" ca="1" si="4"/>
        <v>0</v>
      </c>
      <c r="T53" s="8" t="str">
        <f ca="1">IFERROR(__xludf.DUMMYFUNCTION("""COMPUTED_VALUE"""),"Ciltis")</f>
        <v>Ciltis</v>
      </c>
      <c r="U53" s="13" t="b">
        <f t="shared" ca="1" si="5"/>
        <v>0</v>
      </c>
      <c r="W53" s="8" t="str">
        <f ca="1">IFERROR(__xludf.DUMMYFUNCTION("""COMPUTED_VALUE"""),"Rokās")</f>
        <v>Rokās</v>
      </c>
      <c r="X53" s="13" t="b">
        <f t="shared" ca="1" si="6"/>
        <v>1</v>
      </c>
      <c r="Z53" s="8" t="str">
        <f ca="1">IFERROR(__xludf.DUMMYFUNCTION("""COMPUTED_VALUE"""),"Jūrniecība")</f>
        <v>Jūrniecība</v>
      </c>
      <c r="AA53" s="13" t="b">
        <f t="shared" ca="1" si="7"/>
        <v>0</v>
      </c>
      <c r="AC53" s="8" t="str">
        <f ca="1">IFERROR(__xludf.DUMMYFUNCTION("""COMPUTED_VALUE"""),"Salaka")</f>
        <v>Salaka</v>
      </c>
      <c r="AD53" s="13" t="b">
        <f t="shared" ca="1" si="8"/>
        <v>0</v>
      </c>
      <c r="AF53" s="8" t="str">
        <f ca="1">IFERROR(__xludf.DUMMYFUNCTION("""COMPUTED_VALUE"""),"radio")</f>
        <v>radio</v>
      </c>
      <c r="AG53" s="13" t="b">
        <f t="shared" ca="1" si="9"/>
        <v>0</v>
      </c>
      <c r="AI53" s="8" t="str">
        <f ca="1">IFERROR(__xludf.DUMMYFUNCTION("""COMPUTED_VALUE"""),"dibināja")</f>
        <v>dibināja</v>
      </c>
      <c r="AJ53" s="13" t="b">
        <f t="shared" ca="1" si="10"/>
        <v>0</v>
      </c>
      <c r="AK53" s="7" t="b">
        <v>1</v>
      </c>
      <c r="AL53" s="8" t="str">
        <f ca="1">IFERROR(__xludf.DUMMYFUNCTION("""COMPUTED_VALUE"""),"Vācija")</f>
        <v>Vācija</v>
      </c>
      <c r="AM53" s="13" t="b">
        <f t="shared" ca="1" si="11"/>
        <v>0</v>
      </c>
      <c r="AO53" s="8" t="b">
        <f ca="1">COUNTIF(Rezultāti!C:C,G53)&gt;0</f>
        <v>1</v>
      </c>
    </row>
    <row r="54" spans="2:41" hidden="1" x14ac:dyDescent="0.25">
      <c r="B54" s="8" t="str">
        <f ca="1">IF(C54="","",IF(COUNTIF(Rezultāti!C:C,C54)=0,"Labot",""))</f>
        <v/>
      </c>
      <c r="C54" s="8" t="str">
        <f t="shared" ca="1" si="12"/>
        <v/>
      </c>
      <c r="D54" s="8">
        <f t="shared" ca="1" si="1"/>
        <v>5</v>
      </c>
      <c r="E54" s="12">
        <f ca="1">IFERROR(__xludf.DUMMYFUNCTION("""COMPUTED_VALUE"""),45603.53284728)</f>
        <v>45603.532847280003</v>
      </c>
      <c r="F54" s="8" t="str">
        <f ca="1">IFERROR(__xludf.DUMMYFUNCTION("""COMPUTED_VALUE"""),"Rīgas 6.vidusskola")</f>
        <v>Rīgas 6.vidusskola</v>
      </c>
      <c r="G54" s="8" t="str">
        <f ca="1">IFERROR(__xludf.DUMMYFUNCTION("""COMPUTED_VALUE"""),"Zvaigznītes")</f>
        <v>Zvaigznītes</v>
      </c>
      <c r="H54" s="8" t="str">
        <f ca="1">IFERROR(__xludf.DUMMYFUNCTION("""COMPUTED_VALUE"""),"Anna Nikola Ozoliņa")</f>
        <v>Anna Nikola Ozoliņa</v>
      </c>
      <c r="I54" s="8" t="str">
        <f ca="1">IFERROR(__xludf.DUMMYFUNCTION("""COMPUTED_VALUE"""),"Madara Ķezbere")</f>
        <v>Madara Ķezbere</v>
      </c>
      <c r="J54" s="8" t="str">
        <f ca="1">IFERROR(__xludf.DUMMYFUNCTION("""COMPUTED_VALUE"""),"Katrīna Mežinska")</f>
        <v>Katrīna Mežinska</v>
      </c>
      <c r="K54" s="8" t="str">
        <f ca="1">IFERROR(__xludf.DUMMYFUNCTION("""COMPUTED_VALUE"""),"Katedrāle")</f>
        <v>Katedrāle</v>
      </c>
      <c r="L54" s="13" t="b">
        <f t="shared" ca="1" si="2"/>
        <v>0</v>
      </c>
      <c r="N54" s="8" t="str">
        <f ca="1">IFERROR(__xludf.DUMMYFUNCTION("""COMPUTED_VALUE"""),"Zaiga")</f>
        <v>Zaiga</v>
      </c>
      <c r="O54" s="13" t="b">
        <f t="shared" ca="1" si="3"/>
        <v>1</v>
      </c>
      <c r="Q54" s="8" t="str">
        <f ca="1">IFERROR(__xludf.DUMMYFUNCTION("""COMPUTED_VALUE"""),"Latvija")</f>
        <v>Latvija</v>
      </c>
      <c r="R54" s="13" t="b">
        <f t="shared" ca="1" si="4"/>
        <v>0</v>
      </c>
      <c r="T54" s="8" t="str">
        <f ca="1">IFERROR(__xludf.DUMMYFUNCTION("""COMPUTED_VALUE"""),"Lāzers")</f>
        <v>Lāzers</v>
      </c>
      <c r="U54" s="13" t="b">
        <f t="shared" ca="1" si="5"/>
        <v>0</v>
      </c>
      <c r="W54" s="8" t="str">
        <f ca="1">IFERROR(__xludf.DUMMYFUNCTION("""COMPUTED_VALUE"""),"Rokās")</f>
        <v>Rokās</v>
      </c>
      <c r="X54" s="13" t="b">
        <f t="shared" ca="1" si="6"/>
        <v>1</v>
      </c>
      <c r="Z54" s="8" t="str">
        <f ca="1">IFERROR(__xludf.DUMMYFUNCTION("""COMPUTED_VALUE"""),"Saulkrasti")</f>
        <v>Saulkrasti</v>
      </c>
      <c r="AA54" s="13" t="b">
        <f t="shared" ca="1" si="7"/>
        <v>0</v>
      </c>
      <c r="AC54" s="8" t="str">
        <f ca="1">IFERROR(__xludf.DUMMYFUNCTION("""COMPUTED_VALUE"""),"Salate")</f>
        <v>Salate</v>
      </c>
      <c r="AD54" s="13" t="b">
        <f t="shared" ca="1" si="8"/>
        <v>1</v>
      </c>
      <c r="AF54" s="8" t="str">
        <f ca="1">IFERROR(__xludf.DUMMYFUNCTION("""COMPUTED_VALUE"""),"Kļūda")</f>
        <v>Kļūda</v>
      </c>
      <c r="AG54" s="13" t="b">
        <f t="shared" ca="1" si="9"/>
        <v>0</v>
      </c>
      <c r="AI54" s="8" t="str">
        <f ca="1">IFERROR(__xludf.DUMMYFUNCTION("""COMPUTED_VALUE"""),"Dibināta")</f>
        <v>Dibināta</v>
      </c>
      <c r="AJ54" s="13" t="b">
        <f t="shared" ca="1" si="10"/>
        <v>1</v>
      </c>
      <c r="AK54" s="7" t="b">
        <v>1</v>
      </c>
      <c r="AL54" s="8" t="str">
        <f ca="1">IFERROR(__xludf.DUMMYFUNCTION("""COMPUTED_VALUE"""),"Nodaba")</f>
        <v>Nodaba</v>
      </c>
      <c r="AM54" s="13" t="b">
        <f t="shared" ca="1" si="11"/>
        <v>1</v>
      </c>
      <c r="AO54" s="8" t="b">
        <f ca="1">COUNTIF(Rezultāti!C:C,G54)&gt;0</f>
        <v>1</v>
      </c>
    </row>
    <row r="55" spans="2:41" hidden="1" x14ac:dyDescent="0.25">
      <c r="B55" s="8" t="str">
        <f ca="1">IF(C55="","",IF(COUNTIF(Rezultāti!C:C,C55)=0,"Labot",""))</f>
        <v/>
      </c>
      <c r="C55" s="8" t="str">
        <f t="shared" ca="1" si="12"/>
        <v/>
      </c>
      <c r="D55" s="8">
        <f t="shared" ca="1" si="1"/>
        <v>2</v>
      </c>
      <c r="E55" s="12">
        <f ca="1">IFERROR(__xludf.DUMMYFUNCTION("""COMPUTED_VALUE"""),45603.5331662268)</f>
        <v>45603.5331662268</v>
      </c>
      <c r="F55" s="8" t="str">
        <f ca="1">IFERROR(__xludf.DUMMYFUNCTION("""COMPUTED_VALUE"""),"Rīgas Valsts Klasiskā ģimnāzija")</f>
        <v>Rīgas Valsts Klasiskā ģimnāzija</v>
      </c>
      <c r="G55" s="8" t="str">
        <f ca="1">IFERROR(__xludf.DUMMYFUNCTION("""COMPUTED_VALUE"""),"Vīrišķīgs")</f>
        <v>Vīrišķīgs</v>
      </c>
      <c r="H55" s="8" t="str">
        <f ca="1">IFERROR(__xludf.DUMMYFUNCTION("""COMPUTED_VALUE"""),"Nils Kosenčuks")</f>
        <v>Nils Kosenčuks</v>
      </c>
      <c r="I55" s="8" t="str">
        <f ca="1">IFERROR(__xludf.DUMMYFUNCTION("""COMPUTED_VALUE"""),"Igors Oliševecs")</f>
        <v>Igors Oliševecs</v>
      </c>
      <c r="J55" s="8" t="str">
        <f ca="1">IFERROR(__xludf.DUMMYFUNCTION("""COMPUTED_VALUE"""),"Artjoms Grigorjevs")</f>
        <v>Artjoms Grigorjevs</v>
      </c>
      <c r="K55" s="8" t="str">
        <f ca="1">IFERROR(__xludf.DUMMYFUNCTION("""COMPUTED_VALUE"""),"baznīca")</f>
        <v>baznīca</v>
      </c>
      <c r="L55" s="13" t="b">
        <f t="shared" ca="1" si="2"/>
        <v>0</v>
      </c>
      <c r="N55" s="8" t="str">
        <f ca="1">IFERROR(__xludf.DUMMYFUNCTION("""COMPUTED_VALUE"""),"Zaiga")</f>
        <v>Zaiga</v>
      </c>
      <c r="O55" s="13" t="b">
        <f t="shared" ca="1" si="3"/>
        <v>1</v>
      </c>
      <c r="Q55" s="8" t="str">
        <f ca="1">IFERROR(__xludf.DUMMYFUNCTION("""COMPUTED_VALUE"""),"Latvijā")</f>
        <v>Latvijā</v>
      </c>
      <c r="R55" s="13" t="b">
        <f t="shared" ca="1" si="4"/>
        <v>0</v>
      </c>
      <c r="T55" s="8" t="str">
        <f ca="1">IFERROR(__xludf.DUMMYFUNCTION("""COMPUTED_VALUE"""),"saknes")</f>
        <v>saknes</v>
      </c>
      <c r="U55" s="13" t="b">
        <f t="shared" ca="1" si="5"/>
        <v>0</v>
      </c>
      <c r="W55" s="8" t="str">
        <f ca="1">IFERROR(__xludf.DUMMYFUNCTION("""COMPUTED_VALUE"""),"rokas ")</f>
        <v xml:space="preserve">rokas </v>
      </c>
      <c r="X55" s="13" t="b">
        <f t="shared" ca="1" si="6"/>
        <v>0</v>
      </c>
      <c r="Y55" s="7" t="b">
        <v>1</v>
      </c>
      <c r="Z55" s="8"/>
      <c r="AA55" s="13" t="b">
        <f t="shared" si="7"/>
        <v>0</v>
      </c>
      <c r="AC55" s="8" t="str">
        <f ca="1">IFERROR(__xludf.DUMMYFUNCTION("""COMPUTED_VALUE"""),"aisāns")</f>
        <v>aisāns</v>
      </c>
      <c r="AD55" s="13" t="b">
        <f t="shared" ca="1" si="8"/>
        <v>0</v>
      </c>
      <c r="AF55" s="8" t="str">
        <f ca="1">IFERROR(__xludf.DUMMYFUNCTION("""COMPUTED_VALUE"""),"lapas")</f>
        <v>lapas</v>
      </c>
      <c r="AG55" s="13" t="b">
        <f t="shared" ca="1" si="9"/>
        <v>0</v>
      </c>
      <c r="AI55" s="8" t="str">
        <f ca="1">IFERROR(__xludf.DUMMYFUNCTION("""COMPUTED_VALUE"""),"gaīlitis ")</f>
        <v xml:space="preserve">gaīlitis </v>
      </c>
      <c r="AJ55" s="13" t="b">
        <f t="shared" ca="1" si="10"/>
        <v>0</v>
      </c>
      <c r="AL55" s="8" t="str">
        <f ca="1">IFERROR(__xludf.DUMMYFUNCTION("""COMPUTED_VALUE"""),"pavānu")</f>
        <v>pavānu</v>
      </c>
      <c r="AM55" s="13" t="b">
        <f t="shared" ca="1" si="11"/>
        <v>0</v>
      </c>
      <c r="AO55" s="8" t="b">
        <f ca="1">COUNTIF(Rezultāti!C:C,G55)&gt;0</f>
        <v>1</v>
      </c>
    </row>
    <row r="56" spans="2:41" x14ac:dyDescent="0.25">
      <c r="B56" s="8" t="str">
        <f ca="1">IF(C56="","",IF(COUNTIF(Rezultāti!C:C,C56)=0,"Labot",""))</f>
        <v/>
      </c>
      <c r="C56" s="8" t="str">
        <f t="shared" ca="1" si="12"/>
        <v>Tandēms</v>
      </c>
      <c r="D56" s="8">
        <f t="shared" ca="1" si="1"/>
        <v>5</v>
      </c>
      <c r="E56" s="12">
        <f ca="1">IFERROR(__xludf.DUMMYFUNCTION("""COMPUTED_VALUE"""),45603.5332612847)</f>
        <v>45603.533261284698</v>
      </c>
      <c r="F56" s="8" t="str">
        <f ca="1">IFERROR(__xludf.DUMMYFUNCTION("""COMPUTED_VALUE"""),"Rīgas Valsts 2. ģimnāzija")</f>
        <v>Rīgas Valsts 2. ģimnāzija</v>
      </c>
      <c r="G56" s="8" t="str">
        <f ca="1">IFERROR(__xludf.DUMMYFUNCTION("""COMPUTED_VALUE"""),"Tandēms")</f>
        <v>Tandēms</v>
      </c>
      <c r="H56" s="8" t="str">
        <f ca="1">IFERROR(__xludf.DUMMYFUNCTION("""COMPUTED_VALUE"""),"Marta Šepte")</f>
        <v>Marta Šepte</v>
      </c>
      <c r="I56" s="8" t="str">
        <f ca="1">IFERROR(__xludf.DUMMYFUNCTION("""COMPUTED_VALUE"""),"Klāvs Kristaps Briedis")</f>
        <v>Klāvs Kristaps Briedis</v>
      </c>
      <c r="J56" s="8" t="str">
        <f ca="1">IFERROR(__xludf.DUMMYFUNCTION("""COMPUTED_VALUE"""),"Ernests Andrejs Lauciņš")</f>
        <v>Ernests Andrejs Lauciņš</v>
      </c>
      <c r="K56" s="8" t="str">
        <f ca="1">IFERROR(__xludf.DUMMYFUNCTION("""COMPUTED_VALUE"""),"baznīca")</f>
        <v>baznīca</v>
      </c>
      <c r="L56" s="13" t="b">
        <f t="shared" ca="1" si="2"/>
        <v>0</v>
      </c>
      <c r="N56" s="8" t="str">
        <f ca="1">IFERROR(__xludf.DUMMYFUNCTION("""COMPUTED_VALUE"""),"zaiga")</f>
        <v>zaiga</v>
      </c>
      <c r="O56" s="13" t="b">
        <f t="shared" ca="1" si="3"/>
        <v>1</v>
      </c>
      <c r="Q56" s="8" t="str">
        <f ca="1">IFERROR(__xludf.DUMMYFUNCTION("""COMPUTED_VALUE"""),"ipioleo")</f>
        <v>ipioleo</v>
      </c>
      <c r="R56" s="13" t="b">
        <f t="shared" ca="1" si="4"/>
        <v>0</v>
      </c>
      <c r="T56" s="8" t="str">
        <f ca="1">IFERROR(__xludf.DUMMYFUNCTION("""COMPUTED_VALUE"""),"tetris")</f>
        <v>tetris</v>
      </c>
      <c r="U56" s="13" t="b">
        <f t="shared" ca="1" si="5"/>
        <v>0</v>
      </c>
      <c r="W56" s="8" t="str">
        <f ca="1">IFERROR(__xludf.DUMMYFUNCTION("""COMPUTED_VALUE"""),"rokās")</f>
        <v>rokās</v>
      </c>
      <c r="X56" s="13" t="b">
        <f t="shared" ca="1" si="6"/>
        <v>1</v>
      </c>
      <c r="Z56" s="8" t="str">
        <f ca="1">IFERROR(__xludf.DUMMYFUNCTION("""COMPUTED_VALUE"""),"Aizkraukle")</f>
        <v>Aizkraukle</v>
      </c>
      <c r="AA56" s="13" t="b">
        <f t="shared" ca="1" si="7"/>
        <v>0</v>
      </c>
      <c r="AC56" s="8" t="str">
        <f ca="1">IFERROR(__xludf.DUMMYFUNCTION("""COMPUTED_VALUE"""),"salate")</f>
        <v>salate</v>
      </c>
      <c r="AD56" s="13" t="b">
        <f t="shared" ca="1" si="8"/>
        <v>1</v>
      </c>
      <c r="AF56" s="8" t="str">
        <f ca="1">IFERROR(__xludf.DUMMYFUNCTION("""COMPUTED_VALUE"""),"ziņas")</f>
        <v>ziņas</v>
      </c>
      <c r="AG56" s="13" t="b">
        <f t="shared" ca="1" si="9"/>
        <v>0</v>
      </c>
      <c r="AI56" s="8" t="str">
        <f ca="1">IFERROR(__xludf.DUMMYFUNCTION("""COMPUTED_VALUE"""),"dibināja")</f>
        <v>dibināja</v>
      </c>
      <c r="AJ56" s="13" t="b">
        <f t="shared" ca="1" si="10"/>
        <v>0</v>
      </c>
      <c r="AK56" s="7" t="b">
        <v>1</v>
      </c>
      <c r="AL56" s="8" t="str">
        <f ca="1">IFERROR(__xludf.DUMMYFUNCTION("""COMPUTED_VALUE"""),"nodaba")</f>
        <v>nodaba</v>
      </c>
      <c r="AM56" s="13" t="b">
        <f t="shared" ca="1" si="11"/>
        <v>1</v>
      </c>
      <c r="AO56" s="8" t="b">
        <f ca="1">COUNTIF(Rezultāti!C:C,G56)&gt;0</f>
        <v>1</v>
      </c>
    </row>
    <row r="57" spans="2:41" x14ac:dyDescent="0.25">
      <c r="B57" s="8" t="str">
        <f>IF(C57="","",IF(COUNTIF(Rezultāti!C:C,C57)=0,"Labot",""))</f>
        <v/>
      </c>
      <c r="C57" s="2" t="s">
        <v>115</v>
      </c>
      <c r="D57" s="8">
        <f t="shared" ca="1" si="1"/>
        <v>2</v>
      </c>
      <c r="E57" s="12">
        <f ca="1">IFERROR(__xludf.DUMMYFUNCTION("""COMPUTED_VALUE"""),45603.5335115625)</f>
        <v>45603.533511562498</v>
      </c>
      <c r="F57" s="8" t="str">
        <f ca="1">IFERROR(__xludf.DUMMYFUNCTION("""COMPUTED_VALUE"""),"Rīgas Valsts klasiskā ģimnāzija ")</f>
        <v xml:space="preserve">Rīgas Valsts klasiskā ģimnāzija </v>
      </c>
      <c r="G57" s="8" t="str">
        <f ca="1">IFERROR(__xludf.DUMMYFUNCTION("""COMPUTED_VALUE"""),"SonicX ")</f>
        <v xml:space="preserve">SonicX </v>
      </c>
      <c r="H57" s="8" t="str">
        <f ca="1">IFERROR(__xludf.DUMMYFUNCTION("""COMPUTED_VALUE"""),"Dana Jefimova ")</f>
        <v xml:space="preserve">Dana Jefimova </v>
      </c>
      <c r="I57" s="8" t="str">
        <f ca="1">IFERROR(__xludf.DUMMYFUNCTION("""COMPUTED_VALUE"""),"Sofija Korņejeva")</f>
        <v>Sofija Korņejeva</v>
      </c>
      <c r="J57" s="8" t="str">
        <f ca="1">IFERROR(__xludf.DUMMYFUNCTION("""COMPUTED_VALUE"""),"Anna-Marija Redžepova ")</f>
        <v xml:space="preserve">Anna-Marija Redžepova </v>
      </c>
      <c r="K57" s="8" t="str">
        <f ca="1">IFERROR(__xludf.DUMMYFUNCTION("""COMPUTED_VALUE"""),"Svēta baznīca ")</f>
        <v xml:space="preserve">Svēta baznīca </v>
      </c>
      <c r="L57" s="13" t="b">
        <f t="shared" ca="1" si="2"/>
        <v>0</v>
      </c>
      <c r="N57" s="8" t="str">
        <f ca="1">IFERROR(__xludf.DUMMYFUNCTION("""COMPUTED_VALUE"""),"Zaiga")</f>
        <v>Zaiga</v>
      </c>
      <c r="O57" s="13" t="b">
        <f t="shared" ca="1" si="3"/>
        <v>1</v>
      </c>
      <c r="Q57" s="8" t="str">
        <f ca="1">IFERROR(__xludf.DUMMYFUNCTION("""COMPUTED_VALUE"""),"Latvija")</f>
        <v>Latvija</v>
      </c>
      <c r="R57" s="13" t="b">
        <f t="shared" ca="1" si="4"/>
        <v>0</v>
      </c>
      <c r="T57" s="8" t="str">
        <f ca="1">IFERROR(__xludf.DUMMYFUNCTION("""COMPUTED_VALUE"""),"Tetris")</f>
        <v>Tetris</v>
      </c>
      <c r="U57" s="13" t="b">
        <f t="shared" ca="1" si="5"/>
        <v>0</v>
      </c>
      <c r="W57" s="8" t="str">
        <f ca="1">IFERROR(__xludf.DUMMYFUNCTION("""COMPUTED_VALUE"""),"Pabeidz teikumu nākotne ir tava!")</f>
        <v>Pabeidz teikumu nākotne ir tava!</v>
      </c>
      <c r="X57" s="13" t="b">
        <f t="shared" ca="1" si="6"/>
        <v>0</v>
      </c>
      <c r="Z57" s="8" t="str">
        <f ca="1">IFERROR(__xludf.DUMMYFUNCTION("""COMPUTED_VALUE"""),"Aizkraukle")</f>
        <v>Aizkraukle</v>
      </c>
      <c r="AA57" s="13" t="b">
        <f t="shared" ca="1" si="7"/>
        <v>0</v>
      </c>
      <c r="AC57" s="8" t="str">
        <f ca="1">IFERROR(__xludf.DUMMYFUNCTION("""COMPUTED_VALUE"""),"Slaķis")</f>
        <v>Slaķis</v>
      </c>
      <c r="AD57" s="13" t="b">
        <f t="shared" ca="1" si="8"/>
        <v>0</v>
      </c>
      <c r="AF57" s="8" t="str">
        <f ca="1">IFERROR(__xludf.DUMMYFUNCTION("""COMPUTED_VALUE"""),"Pasts")</f>
        <v>Pasts</v>
      </c>
      <c r="AG57" s="13" t="b">
        <f t="shared" ca="1" si="9"/>
        <v>0</v>
      </c>
      <c r="AI57" s="8" t="str">
        <f ca="1">IFERROR(__xludf.DUMMYFUNCTION("""COMPUTED_VALUE"""),"Dibināja")</f>
        <v>Dibināja</v>
      </c>
      <c r="AJ57" s="13" t="b">
        <f t="shared" ca="1" si="10"/>
        <v>0</v>
      </c>
      <c r="AK57" s="7" t="b">
        <v>1</v>
      </c>
      <c r="AL57" s="8" t="str">
        <f ca="1">IFERROR(__xludf.DUMMYFUNCTION("""COMPUTED_VALUE"""),"Oskars ")</f>
        <v xml:space="preserve">Oskars </v>
      </c>
      <c r="AM57" s="13" t="b">
        <f t="shared" ca="1" si="11"/>
        <v>0</v>
      </c>
      <c r="AO57" s="8" t="b">
        <f ca="1">COUNTIF(Rezultāti!C:C,G57)&gt;0</f>
        <v>0</v>
      </c>
    </row>
    <row r="58" spans="2:41" x14ac:dyDescent="0.25">
      <c r="B58" s="8" t="str">
        <f ca="1">IF(C58="","",IF(COUNTIF(Rezultāti!C:C,C58)=0,"Labot",""))</f>
        <v/>
      </c>
      <c r="C58" s="8" t="str">
        <f t="shared" ref="C58:C64" ca="1" si="13">IF(COUNTIF(C59:C255,G58)=0,G58,"")</f>
        <v>Trigonometrija</v>
      </c>
      <c r="D58" s="8">
        <f t="shared" ca="1" si="1"/>
        <v>0</v>
      </c>
      <c r="E58" s="12">
        <f ca="1">IFERROR(__xludf.DUMMYFUNCTION("""COMPUTED_VALUE"""),45603.5337302199)</f>
        <v>45603.533730219897</v>
      </c>
      <c r="F58" s="8" t="str">
        <f ca="1">IFERROR(__xludf.DUMMYFUNCTION("""COMPUTED_VALUE"""),"Rīgas 31. Vidusskola")</f>
        <v>Rīgas 31. Vidusskola</v>
      </c>
      <c r="G58" s="8" t="str">
        <f ca="1">IFERROR(__xludf.DUMMYFUNCTION("""COMPUTED_VALUE"""),"Trigonometrija")</f>
        <v>Trigonometrija</v>
      </c>
      <c r="H58" s="8" t="str">
        <f ca="1">IFERROR(__xludf.DUMMYFUNCTION("""COMPUTED_VALUE"""),"Jolanta Ozoliņa")</f>
        <v>Jolanta Ozoliņa</v>
      </c>
      <c r="I58" s="8" t="str">
        <f ca="1">IFERROR(__xludf.DUMMYFUNCTION("""COMPUTED_VALUE"""),"Margarita Parfena")</f>
        <v>Margarita Parfena</v>
      </c>
      <c r="J58" s="8" t="str">
        <f ca="1">IFERROR(__xludf.DUMMYFUNCTION("""COMPUTED_VALUE"""),"Arnis Bikovs")</f>
        <v>Arnis Bikovs</v>
      </c>
      <c r="K58" s="8" t="str">
        <f ca="1">IFERROR(__xludf.DUMMYFUNCTION("""COMPUTED_VALUE"""),"Latvijas Nacionālā Bibliotēka")</f>
        <v>Latvijas Nacionālā Bibliotēka</v>
      </c>
      <c r="L58" s="13" t="b">
        <f t="shared" ca="1" si="2"/>
        <v>0</v>
      </c>
      <c r="N58" s="8" t="str">
        <f ca="1">IFERROR(__xludf.DUMMYFUNCTION("""COMPUTED_VALUE"""),"Evita")</f>
        <v>Evita</v>
      </c>
      <c r="O58" s="13" t="b">
        <f t="shared" ca="1" si="3"/>
        <v>0</v>
      </c>
      <c r="Q58" s="8" t="str">
        <f ca="1">IFERROR(__xludf.DUMMYFUNCTION("""COMPUTED_VALUE"""),"Brasība")</f>
        <v>Brasība</v>
      </c>
      <c r="R58" s="13" t="b">
        <f t="shared" ca="1" si="4"/>
        <v>0</v>
      </c>
      <c r="T58" s="8" t="str">
        <f ca="1">IFERROR(__xludf.DUMMYFUNCTION("""COMPUTED_VALUE"""),"Konusi")</f>
        <v>Konusi</v>
      </c>
      <c r="U58" s="13" t="b">
        <f t="shared" ca="1" si="5"/>
        <v>0</v>
      </c>
      <c r="W58" s="8" t="str">
        <f ca="1">IFERROR(__xludf.DUMMYFUNCTION("""COMPUTED_VALUE"""),"Laimes skaitlis ir tev blakus")</f>
        <v>Laimes skaitlis ir tev blakus</v>
      </c>
      <c r="X58" s="13" t="b">
        <f t="shared" ca="1" si="6"/>
        <v>0</v>
      </c>
      <c r="Z58" s="8" t="str">
        <f ca="1">IFERROR(__xludf.DUMMYFUNCTION("""COMPUTED_VALUE"""),"Aizkraukle")</f>
        <v>Aizkraukle</v>
      </c>
      <c r="AA58" s="13" t="b">
        <f t="shared" ca="1" si="7"/>
        <v>0</v>
      </c>
      <c r="AC58" s="8" t="str">
        <f ca="1">IFERROR(__xludf.DUMMYFUNCTION("""COMPUTED_VALUE"""),"Slazds")</f>
        <v>Slazds</v>
      </c>
      <c r="AD58" s="13" t="b">
        <f t="shared" ca="1" si="8"/>
        <v>0</v>
      </c>
      <c r="AF58" s="8" t="str">
        <f ca="1">IFERROR(__xludf.DUMMYFUNCTION("""COMPUTED_VALUE"""),"Start")</f>
        <v>Start</v>
      </c>
      <c r="AG58" s="13" t="b">
        <f t="shared" ca="1" si="9"/>
        <v>0</v>
      </c>
      <c r="AI58" s="8" t="str">
        <f ca="1">IFERROR(__xludf.DUMMYFUNCTION("""COMPUTED_VALUE"""),"Viesūlis")</f>
        <v>Viesūlis</v>
      </c>
      <c r="AJ58" s="13" t="b">
        <f t="shared" ca="1" si="10"/>
        <v>0</v>
      </c>
      <c r="AL58" s="8" t="str">
        <f ca="1">IFERROR(__xludf.DUMMYFUNCTION("""COMPUTED_VALUE"""),"Oskars")</f>
        <v>Oskars</v>
      </c>
      <c r="AM58" s="13" t="b">
        <f t="shared" ca="1" si="11"/>
        <v>0</v>
      </c>
      <c r="AO58" s="8" t="b">
        <f ca="1">COUNTIF(Rezultāti!C:C,G58)&gt;0</f>
        <v>1</v>
      </c>
    </row>
    <row r="59" spans="2:41" x14ac:dyDescent="0.25">
      <c r="B59" s="8" t="str">
        <f ca="1">IF(C59="","",IF(COUNTIF(Rezultāti!C:C,C59)=0,"Labot",""))</f>
        <v/>
      </c>
      <c r="C59" s="8" t="str">
        <f t="shared" ca="1" si="13"/>
        <v>Gandrīz izglītotā armija</v>
      </c>
      <c r="D59" s="8">
        <f t="shared" ca="1" si="1"/>
        <v>5</v>
      </c>
      <c r="E59" s="12">
        <f ca="1">IFERROR(__xludf.DUMMYFUNCTION("""COMPUTED_VALUE"""),45603.5344367129)</f>
        <v>45603.5344367129</v>
      </c>
      <c r="F59" s="8" t="str">
        <f ca="1">IFERROR(__xludf.DUMMYFUNCTION("""COMPUTED_VALUE"""),"Rīgas Centra humanitārā vidusskola")</f>
        <v>Rīgas Centra humanitārā vidusskola</v>
      </c>
      <c r="G59" s="8" t="str">
        <f ca="1">IFERROR(__xludf.DUMMYFUNCTION("""COMPUTED_VALUE"""),"Gandrīz izglītotā armija")</f>
        <v>Gandrīz izglītotā armija</v>
      </c>
      <c r="H59" s="8" t="str">
        <f ca="1">IFERROR(__xludf.DUMMYFUNCTION("""COMPUTED_VALUE"""),"Lelde Katrīna Prikule")</f>
        <v>Lelde Katrīna Prikule</v>
      </c>
      <c r="I59" s="8" t="str">
        <f ca="1">IFERROR(__xludf.DUMMYFUNCTION("""COMPUTED_VALUE"""),"Ernests Pabērzs")</f>
        <v>Ernests Pabērzs</v>
      </c>
      <c r="J59" s="8" t="str">
        <f ca="1">IFERROR(__xludf.DUMMYFUNCTION("""COMPUTED_VALUE"""),"Viesturs Runts")</f>
        <v>Viesturs Runts</v>
      </c>
      <c r="K59" s="8" t="str">
        <f ca="1">IFERROR(__xludf.DUMMYFUNCTION("""COMPUTED_VALUE"""),"Brandenburgas vārti")</f>
        <v>Brandenburgas vārti</v>
      </c>
      <c r="L59" s="13" t="b">
        <f t="shared" ca="1" si="2"/>
        <v>0</v>
      </c>
      <c r="N59" s="8" t="str">
        <f ca="1">IFERROR(__xludf.DUMMYFUNCTION("""COMPUTED_VALUE"""),"Zaiga")</f>
        <v>Zaiga</v>
      </c>
      <c r="O59" s="13" t="b">
        <f t="shared" ca="1" si="3"/>
        <v>1</v>
      </c>
      <c r="Q59" s="8" t="str">
        <f ca="1">IFERROR(__xludf.DUMMYFUNCTION("""COMPUTED_VALUE"""),"Pilsoņi")</f>
        <v>Pilsoņi</v>
      </c>
      <c r="R59" s="13" t="b">
        <f t="shared" ca="1" si="4"/>
        <v>1</v>
      </c>
      <c r="T59" s="8" t="str">
        <f ca="1">IFERROR(__xludf.DUMMYFUNCTION("""COMPUTED_VALUE"""),"priekā")</f>
        <v>priekā</v>
      </c>
      <c r="U59" s="13" t="b">
        <f t="shared" ca="1" si="5"/>
        <v>0</v>
      </c>
      <c r="W59" s="8" t="str">
        <f ca="1">IFERROR(__xludf.DUMMYFUNCTION("""COMPUTED_VALUE"""),"rokās")</f>
        <v>rokās</v>
      </c>
      <c r="X59" s="13" t="b">
        <f t="shared" ca="1" si="6"/>
        <v>1</v>
      </c>
      <c r="Z59" s="8" t="str">
        <f ca="1">IFERROR(__xludf.DUMMYFUNCTION("""COMPUTED_VALUE"""),"dihromisks")</f>
        <v>dihromisks</v>
      </c>
      <c r="AA59" s="13" t="b">
        <f t="shared" ca="1" si="7"/>
        <v>0</v>
      </c>
      <c r="AC59" s="8" t="str">
        <f ca="1">IFERROR(__xludf.DUMMYFUNCTION("""COMPUTED_VALUE"""),"salaka")</f>
        <v>salaka</v>
      </c>
      <c r="AD59" s="13" t="b">
        <f t="shared" ca="1" si="8"/>
        <v>0</v>
      </c>
      <c r="AF59" s="8" t="str">
        <f ca="1">IFERROR(__xludf.DUMMYFUNCTION("""COMPUTED_VALUE"""),"kļūda")</f>
        <v>kļūda</v>
      </c>
      <c r="AG59" s="13" t="b">
        <f t="shared" ca="1" si="9"/>
        <v>0</v>
      </c>
      <c r="AI59" s="8" t="str">
        <f ca="1">IFERROR(__xludf.DUMMYFUNCTION("""COMPUTED_VALUE"""),"dibināja")</f>
        <v>dibināja</v>
      </c>
      <c r="AJ59" s="13" t="b">
        <f t="shared" ca="1" si="10"/>
        <v>0</v>
      </c>
      <c r="AK59" s="7" t="b">
        <v>1</v>
      </c>
      <c r="AL59" s="8" t="str">
        <f ca="1">IFERROR(__xludf.DUMMYFUNCTION("""COMPUTED_VALUE"""),"nodaba")</f>
        <v>nodaba</v>
      </c>
      <c r="AM59" s="13" t="b">
        <f t="shared" ca="1" si="11"/>
        <v>1</v>
      </c>
      <c r="AO59" s="8" t="b">
        <f ca="1">COUNTIF(Rezultāti!C:C,G59)&gt;0</f>
        <v>1</v>
      </c>
    </row>
    <row r="60" spans="2:41" hidden="1" x14ac:dyDescent="0.25">
      <c r="B60" s="8" t="str">
        <f ca="1">IF(C60="","",IF(COUNTIF(Rezultāti!C:C,C60)=0,"Labot",""))</f>
        <v>Labot</v>
      </c>
      <c r="C60" s="8" t="str">
        <f t="shared" ca="1" si="13"/>
        <v>Negative IQ</v>
      </c>
      <c r="D60" s="8">
        <f t="shared" ca="1" si="1"/>
        <v>4</v>
      </c>
      <c r="E60" s="12">
        <f ca="1">IFERROR(__xludf.DUMMYFUNCTION("""COMPUTED_VALUE"""),45603.5347954629)</f>
        <v>45603.534795462903</v>
      </c>
      <c r="F60" s="8" t="str">
        <f ca="1">IFERROR(__xludf.DUMMYFUNCTION("""COMPUTED_VALUE"""),"Rīgas Valsts 3. ģimnāzija")</f>
        <v>Rīgas Valsts 3. ģimnāzija</v>
      </c>
      <c r="G60" s="8" t="str">
        <f ca="1">IFERROR(__xludf.DUMMYFUNCTION("""COMPUTED_VALUE"""),"Negative IQ")</f>
        <v>Negative IQ</v>
      </c>
      <c r="H60" s="8" t="str">
        <f ca="1">IFERROR(__xludf.DUMMYFUNCTION("""COMPUTED_VALUE"""),"Vasīlijs Tverskojs")</f>
        <v>Vasīlijs Tverskojs</v>
      </c>
      <c r="I60" s="8" t="str">
        <f ca="1">IFERROR(__xludf.DUMMYFUNCTION("""COMPUTED_VALUE"""),"Nikolajs Koževņikovs")</f>
        <v>Nikolajs Koževņikovs</v>
      </c>
      <c r="J60" s="8" t="str">
        <f ca="1">IFERROR(__xludf.DUMMYFUNCTION("""COMPUTED_VALUE"""),"Nikolaj Levdik")</f>
        <v>Nikolaj Levdik</v>
      </c>
      <c r="K60" s="8"/>
      <c r="L60" s="13" t="b">
        <f t="shared" si="2"/>
        <v>0</v>
      </c>
      <c r="N60" s="8" t="str">
        <f ca="1">IFERROR(__xludf.DUMMYFUNCTION("""COMPUTED_VALUE"""),"zaiga")</f>
        <v>zaiga</v>
      </c>
      <c r="O60" s="13" t="b">
        <f t="shared" ca="1" si="3"/>
        <v>1</v>
      </c>
      <c r="Q60" s="8" t="str">
        <f ca="1">IFERROR(__xludf.DUMMYFUNCTION("""COMPUTED_VALUE"""),"epitets")</f>
        <v>epitets</v>
      </c>
      <c r="R60" s="13" t="b">
        <f t="shared" ca="1" si="4"/>
        <v>0</v>
      </c>
      <c r="T60" s="8"/>
      <c r="U60" s="13" t="b">
        <f t="shared" si="5"/>
        <v>0</v>
      </c>
      <c r="W60" s="8" t="str">
        <f ca="1">IFERROR(__xludf.DUMMYFUNCTION("""COMPUTED_VALUE"""),"rokās")</f>
        <v>rokās</v>
      </c>
      <c r="X60" s="13" t="b">
        <f t="shared" ca="1" si="6"/>
        <v>1</v>
      </c>
      <c r="Z60" s="8" t="str">
        <f ca="1">IFERROR(__xludf.DUMMYFUNCTION("""COMPUTED_VALUE"""),"aizkraukle")</f>
        <v>aizkraukle</v>
      </c>
      <c r="AA60" s="13" t="b">
        <f t="shared" ca="1" si="7"/>
        <v>0</v>
      </c>
      <c r="AC60" s="8" t="str">
        <f ca="1">IFERROR(__xludf.DUMMYFUNCTION("""COMPUTED_VALUE"""),"atlase")</f>
        <v>atlase</v>
      </c>
      <c r="AD60" s="13" t="b">
        <f t="shared" ca="1" si="8"/>
        <v>0</v>
      </c>
      <c r="AF60" s="8"/>
      <c r="AG60" s="13" t="b">
        <f t="shared" si="9"/>
        <v>0</v>
      </c>
      <c r="AI60" s="8" t="str">
        <f ca="1">IFERROR(__xludf.DUMMYFUNCTION("""COMPUTED_VALUE"""),"dibināta")</f>
        <v>dibināta</v>
      </c>
      <c r="AJ60" s="13" t="b">
        <f t="shared" ca="1" si="10"/>
        <v>1</v>
      </c>
      <c r="AK60" s="7" t="b">
        <v>1</v>
      </c>
      <c r="AL60" s="8" t="str">
        <f ca="1">IFERROR(__xludf.DUMMYFUNCTION("""COMPUTED_VALUE"""),"nodaba")</f>
        <v>nodaba</v>
      </c>
      <c r="AM60" s="13" t="b">
        <f t="shared" ca="1" si="11"/>
        <v>1</v>
      </c>
      <c r="AO60" s="8" t="b">
        <f ca="1">COUNTIF(Rezultāti!C:C,G60)&gt;0</f>
        <v>0</v>
      </c>
    </row>
    <row r="61" spans="2:41" x14ac:dyDescent="0.25">
      <c r="B61" s="8" t="str">
        <f ca="1">IF(C61="","",IF(COUNTIF(Rezultāti!C:C,C61)=0,"Labot",""))</f>
        <v/>
      </c>
      <c r="C61" s="8" t="str">
        <f t="shared" ca="1" si="13"/>
        <v>Oho!</v>
      </c>
      <c r="D61" s="8">
        <f t="shared" ca="1" si="1"/>
        <v>5</v>
      </c>
      <c r="E61" s="12">
        <f ca="1">IFERROR(__xludf.DUMMYFUNCTION("""COMPUTED_VALUE"""),45603.5355254629)</f>
        <v>45603.535525462903</v>
      </c>
      <c r="F61" s="8" t="str">
        <f ca="1">IFERROR(__xludf.DUMMYFUNCTION("""COMPUTED_VALUE"""),"Rīgas Zolitūdes ģimnāzija")</f>
        <v>Rīgas Zolitūdes ģimnāzija</v>
      </c>
      <c r="G61" s="8" t="str">
        <f ca="1">IFERROR(__xludf.DUMMYFUNCTION("""COMPUTED_VALUE"""),"Oho!")</f>
        <v>Oho!</v>
      </c>
      <c r="H61" s="8" t="str">
        <f ca="1">IFERROR(__xludf.DUMMYFUNCTION("""COMPUTED_VALUE"""),"Elīna Savčuka")</f>
        <v>Elīna Savčuka</v>
      </c>
      <c r="I61" s="8" t="str">
        <f ca="1">IFERROR(__xludf.DUMMYFUNCTION("""COMPUTED_VALUE"""),"Nikola Žinkeviča")</f>
        <v>Nikola Žinkeviča</v>
      </c>
      <c r="J61" s="8" t="str">
        <f ca="1">IFERROR(__xludf.DUMMYFUNCTION("""COMPUTED_VALUE"""),"Valerija Sulima")</f>
        <v>Valerija Sulima</v>
      </c>
      <c r="K61" s="8"/>
      <c r="L61" s="13" t="b">
        <f t="shared" si="2"/>
        <v>0</v>
      </c>
      <c r="N61" s="8" t="str">
        <f ca="1">IFERROR(__xludf.DUMMYFUNCTION("""COMPUTED_VALUE"""),"Zaiga")</f>
        <v>Zaiga</v>
      </c>
      <c r="O61" s="13" t="b">
        <f t="shared" ca="1" si="3"/>
        <v>1</v>
      </c>
      <c r="Q61" s="8" t="str">
        <f ca="1">IFERROR(__xludf.DUMMYFUNCTION("""COMPUTED_VALUE"""),"Savieno")</f>
        <v>Savieno</v>
      </c>
      <c r="R61" s="13" t="b">
        <f t="shared" ca="1" si="4"/>
        <v>0</v>
      </c>
      <c r="T61" s="8"/>
      <c r="U61" s="13" t="b">
        <f t="shared" si="5"/>
        <v>0</v>
      </c>
      <c r="W61" s="8" t="str">
        <f ca="1">IFERROR(__xludf.DUMMYFUNCTION("""COMPUTED_VALUE"""),"Rokās")</f>
        <v>Rokās</v>
      </c>
      <c r="X61" s="13" t="b">
        <f t="shared" ca="1" si="6"/>
        <v>1</v>
      </c>
      <c r="Z61" s="8" t="str">
        <f ca="1">IFERROR(__xludf.DUMMYFUNCTION("""COMPUTED_VALUE"""),"Salacgrīva")</f>
        <v>Salacgrīva</v>
      </c>
      <c r="AA61" s="13" t="b">
        <f t="shared" ca="1" si="7"/>
        <v>1</v>
      </c>
      <c r="AC61" s="8" t="str">
        <f ca="1">IFERROR(__xludf.DUMMYFUNCTION("""COMPUTED_VALUE"""),"Salate")</f>
        <v>Salate</v>
      </c>
      <c r="AD61" s="13" t="b">
        <f t="shared" ca="1" si="8"/>
        <v>1</v>
      </c>
      <c r="AF61" s="8" t="str">
        <f ca="1">IFERROR(__xludf.DUMMYFUNCTION("""COMPUTED_VALUE"""),"Stars")</f>
        <v>Stars</v>
      </c>
      <c r="AG61" s="13" t="b">
        <f t="shared" ca="1" si="9"/>
        <v>0</v>
      </c>
      <c r="AI61" s="8" t="str">
        <f ca="1">IFERROR(__xludf.DUMMYFUNCTION("""COMPUTED_VALUE"""),"Atbrīvot")</f>
        <v>Atbrīvot</v>
      </c>
      <c r="AJ61" s="13" t="b">
        <f t="shared" ca="1" si="10"/>
        <v>0</v>
      </c>
      <c r="AL61" s="8" t="str">
        <f ca="1">IFERROR(__xludf.DUMMYFUNCTION("""COMPUTED_VALUE"""),"Nodaba")</f>
        <v>Nodaba</v>
      </c>
      <c r="AM61" s="13" t="b">
        <f t="shared" ca="1" si="11"/>
        <v>1</v>
      </c>
      <c r="AO61" s="8" t="b">
        <f ca="1">COUNTIF(Rezultāti!C:C,G61)&gt;0</f>
        <v>1</v>
      </c>
    </row>
    <row r="62" spans="2:41" x14ac:dyDescent="0.25">
      <c r="B62" s="8" t="str">
        <f ca="1">IF(C62="","",IF(COUNTIF(Rezultāti!C:C,C62)=0,"Labot",""))</f>
        <v/>
      </c>
      <c r="C62" s="8" t="str">
        <f t="shared" ca="1" si="13"/>
        <v>Rozā brilles</v>
      </c>
      <c r="D62" s="8">
        <f t="shared" ca="1" si="1"/>
        <v>7</v>
      </c>
      <c r="E62" s="12">
        <f ca="1">IFERROR(__xludf.DUMMYFUNCTION("""COMPUTED_VALUE"""),45603.5355454976)</f>
        <v>45603.535545497602</v>
      </c>
      <c r="F62" s="8" t="str">
        <f ca="1">IFERROR(__xludf.DUMMYFUNCTION("""COMPUTED_VALUE"""),"Rīgas Valsts 2.ģimnāzija")</f>
        <v>Rīgas Valsts 2.ģimnāzija</v>
      </c>
      <c r="G62" s="8" t="str">
        <f ca="1">IFERROR(__xludf.DUMMYFUNCTION("""COMPUTED_VALUE"""),"Rozā brilles")</f>
        <v>Rozā brilles</v>
      </c>
      <c r="H62" s="8" t="str">
        <f ca="1">IFERROR(__xludf.DUMMYFUNCTION("""COMPUTED_VALUE"""),"Sanda Čunka")</f>
        <v>Sanda Čunka</v>
      </c>
      <c r="I62" s="8" t="str">
        <f ca="1">IFERROR(__xludf.DUMMYFUNCTION("""COMPUTED_VALUE"""),"Tīna Rudbārža")</f>
        <v>Tīna Rudbārža</v>
      </c>
      <c r="J62" s="8" t="str">
        <f ca="1">IFERROR(__xludf.DUMMYFUNCTION("""COMPUTED_VALUE"""),"Rasa Stabinge")</f>
        <v>Rasa Stabinge</v>
      </c>
      <c r="K62" s="8" t="str">
        <f ca="1">IFERROR(__xludf.DUMMYFUNCTION("""COMPUTED_VALUE"""),"Latvijas Nacionālais teātris")</f>
        <v>Latvijas Nacionālais teātris</v>
      </c>
      <c r="L62" s="13" t="b">
        <f t="shared" ca="1" si="2"/>
        <v>0</v>
      </c>
      <c r="N62" s="8" t="str">
        <f ca="1">IFERROR(__xludf.DUMMYFUNCTION("""COMPUTED_VALUE"""),"Zaiga")</f>
        <v>Zaiga</v>
      </c>
      <c r="O62" s="13" t="b">
        <f t="shared" ca="1" si="3"/>
        <v>1</v>
      </c>
      <c r="Q62" s="8" t="str">
        <f ca="1">IFERROR(__xludf.DUMMYFUNCTION("""COMPUTED_VALUE"""),"Pilsoņi")</f>
        <v>Pilsoņi</v>
      </c>
      <c r="R62" s="13" t="b">
        <f t="shared" ca="1" si="4"/>
        <v>1</v>
      </c>
      <c r="T62" s="8" t="str">
        <f ca="1">IFERROR(__xludf.DUMMYFUNCTION("""COMPUTED_VALUE"""),"Tobago")</f>
        <v>Tobago</v>
      </c>
      <c r="U62" s="13" t="b">
        <f t="shared" ca="1" si="5"/>
        <v>0</v>
      </c>
      <c r="V62" s="7" t="b">
        <v>1</v>
      </c>
      <c r="W62" s="8" t="str">
        <f ca="1">IFERROR(__xludf.DUMMYFUNCTION("""COMPUTED_VALUE"""),"Rokās")</f>
        <v>Rokās</v>
      </c>
      <c r="X62" s="13" t="b">
        <f t="shared" ca="1" si="6"/>
        <v>1</v>
      </c>
      <c r="Z62" s="8" t="str">
        <f ca="1">IFERROR(__xludf.DUMMYFUNCTION("""COMPUTED_VALUE"""),"Pilsdrupas")</f>
        <v>Pilsdrupas</v>
      </c>
      <c r="AA62" s="13" t="b">
        <f t="shared" ca="1" si="7"/>
        <v>0</v>
      </c>
      <c r="AC62" s="8" t="str">
        <f ca="1">IFERROR(__xludf.DUMMYFUNCTION("""COMPUTED_VALUE"""),"Salate")</f>
        <v>Salate</v>
      </c>
      <c r="AD62" s="13" t="b">
        <f t="shared" ca="1" si="8"/>
        <v>1</v>
      </c>
      <c r="AF62" s="8" t="str">
        <f ca="1">IFERROR(__xludf.DUMMYFUNCTION("""COMPUTED_VALUE"""),"rotēs")</f>
        <v>rotēs</v>
      </c>
      <c r="AG62" s="13" t="b">
        <f t="shared" ca="1" si="9"/>
        <v>0</v>
      </c>
      <c r="AI62" s="8" t="str">
        <f ca="1">IFERROR(__xludf.DUMMYFUNCTION("""COMPUTED_VALUE"""),"Dibināta")</f>
        <v>Dibināta</v>
      </c>
      <c r="AJ62" s="13" t="b">
        <f t="shared" ca="1" si="10"/>
        <v>1</v>
      </c>
      <c r="AK62" s="7" t="b">
        <v>1</v>
      </c>
      <c r="AL62" s="8" t="str">
        <f ca="1">IFERROR(__xludf.DUMMYFUNCTION("""COMPUTED_VALUE"""),"Nodaba")</f>
        <v>Nodaba</v>
      </c>
      <c r="AM62" s="13" t="b">
        <f t="shared" ca="1" si="11"/>
        <v>1</v>
      </c>
      <c r="AO62" s="8" t="b">
        <f ca="1">COUNTIF(Rezultāti!C:C,G62)&gt;0</f>
        <v>1</v>
      </c>
    </row>
    <row r="63" spans="2:41" x14ac:dyDescent="0.25">
      <c r="B63" s="8" t="str">
        <f ca="1">IF(C63="","",IF(COUNTIF(Rezultāti!C:C,C63)=0,"Labot",""))</f>
        <v/>
      </c>
      <c r="C63" s="8" t="str">
        <f t="shared" ca="1" si="13"/>
        <v>Apaļā galda bruņinieki</v>
      </c>
      <c r="D63" s="8">
        <f t="shared" ca="1" si="1"/>
        <v>1</v>
      </c>
      <c r="E63" s="12">
        <f ca="1">IFERROR(__xludf.DUMMYFUNCTION("""COMPUTED_VALUE"""),45603.5355949421)</f>
        <v>45603.535594942099</v>
      </c>
      <c r="F63" s="8" t="str">
        <f ca="1">IFERROR(__xludf.DUMMYFUNCTION("""COMPUTED_VALUE"""),"Rīgas Ķengaraga vidusskola")</f>
        <v>Rīgas Ķengaraga vidusskola</v>
      </c>
      <c r="G63" s="8" t="str">
        <f ca="1">IFERROR(__xludf.DUMMYFUNCTION("""COMPUTED_VALUE"""),"Apaļā galda bruņinieki")</f>
        <v>Apaļā galda bruņinieki</v>
      </c>
      <c r="H63" s="8" t="str">
        <f ca="1">IFERROR(__xludf.DUMMYFUNCTION("""COMPUTED_VALUE"""),"Romāns Soņņiks")</f>
        <v>Romāns Soņņiks</v>
      </c>
      <c r="I63" s="8" t="str">
        <f ca="1">IFERROR(__xludf.DUMMYFUNCTION("""COMPUTED_VALUE"""),"Aleksejs Kirillovs")</f>
        <v>Aleksejs Kirillovs</v>
      </c>
      <c r="J63" s="8" t="str">
        <f ca="1">IFERROR(__xludf.DUMMYFUNCTION("""COMPUTED_VALUE"""),"Nikita Smirnovs")</f>
        <v>Nikita Smirnovs</v>
      </c>
      <c r="K63" s="8"/>
      <c r="L63" s="13" t="b">
        <f t="shared" si="2"/>
        <v>0</v>
      </c>
      <c r="N63" s="8" t="str">
        <f ca="1">IFERROR(__xludf.DUMMYFUNCTION("""COMPUTED_VALUE"""),"Evita")</f>
        <v>Evita</v>
      </c>
      <c r="O63" s="13" t="b">
        <f t="shared" ca="1" si="3"/>
        <v>0</v>
      </c>
      <c r="Q63" s="8" t="str">
        <f ca="1">IFERROR(__xludf.DUMMYFUNCTION("""COMPUTED_VALUE"""),"Brīvība")</f>
        <v>Brīvība</v>
      </c>
      <c r="R63" s="13" t="b">
        <f t="shared" ca="1" si="4"/>
        <v>0</v>
      </c>
      <c r="T63" s="8"/>
      <c r="U63" s="13" t="b">
        <f t="shared" si="5"/>
        <v>0</v>
      </c>
      <c r="W63" s="8" t="str">
        <f ca="1">IFERROR(__xludf.DUMMYFUNCTION("""COMPUTED_VALUE"""),"investicijas")</f>
        <v>investicijas</v>
      </c>
      <c r="X63" s="13" t="b">
        <f t="shared" ca="1" si="6"/>
        <v>0</v>
      </c>
      <c r="Z63" s="8"/>
      <c r="AA63" s="13" t="b">
        <f t="shared" si="7"/>
        <v>0</v>
      </c>
      <c r="AC63" s="8"/>
      <c r="AD63" s="13" t="b">
        <f t="shared" si="8"/>
        <v>0</v>
      </c>
      <c r="AF63" s="8"/>
      <c r="AG63" s="13" t="b">
        <f t="shared" si="9"/>
        <v>0</v>
      </c>
      <c r="AI63" s="8"/>
      <c r="AJ63" s="13" t="b">
        <f t="shared" si="10"/>
        <v>0</v>
      </c>
      <c r="AL63" s="8" t="str">
        <f ca="1">IFERROR(__xludf.DUMMYFUNCTION("""COMPUTED_VALUE"""),"nodaba")</f>
        <v>nodaba</v>
      </c>
      <c r="AM63" s="13" t="b">
        <f t="shared" ca="1" si="11"/>
        <v>1</v>
      </c>
      <c r="AO63" s="8" t="b">
        <f ca="1">COUNTIF(Rezultāti!C:C,G63)&gt;0</f>
        <v>1</v>
      </c>
    </row>
    <row r="64" spans="2:41" hidden="1" x14ac:dyDescent="0.25">
      <c r="B64" s="8" t="str">
        <f ca="1">IF(C64="","",IF(COUNTIF(Rezultāti!C:C,C64)=0,"Labot",""))</f>
        <v/>
      </c>
      <c r="C64" s="8" t="str">
        <f t="shared" ca="1" si="13"/>
        <v/>
      </c>
      <c r="D64" s="8">
        <f t="shared" ca="1" si="1"/>
        <v>4</v>
      </c>
      <c r="E64" s="12">
        <f ca="1">IFERROR(__xludf.DUMMYFUNCTION("""COMPUTED_VALUE"""),45603.535601956)</f>
        <v>45603.535601955999</v>
      </c>
      <c r="F64" s="8" t="str">
        <f ca="1">IFERROR(__xludf.DUMMYFUNCTION("""COMPUTED_VALUE"""),"Rīgas Purvciema vidusskola")</f>
        <v>Rīgas Purvciema vidusskola</v>
      </c>
      <c r="G64" s="8" t="str">
        <f ca="1">IFERROR(__xludf.DUMMYFUNCTION("""COMPUTED_VALUE"""),"Kambalance")</f>
        <v>Kambalance</v>
      </c>
      <c r="H64" s="8" t="str">
        <f ca="1">IFERROR(__xludf.DUMMYFUNCTION("""COMPUTED_VALUE"""),"Pāvels Rudko")</f>
        <v>Pāvels Rudko</v>
      </c>
      <c r="I64" s="8" t="str">
        <f ca="1">IFERROR(__xludf.DUMMYFUNCTION("""COMPUTED_VALUE"""),"Iļja Fomkins")</f>
        <v>Iļja Fomkins</v>
      </c>
      <c r="J64" s="8" t="str">
        <f ca="1">IFERROR(__xludf.DUMMYFUNCTION("""COMPUTED_VALUE"""),"Danila Belovs")</f>
        <v>Danila Belovs</v>
      </c>
      <c r="K64" s="8" t="str">
        <f ca="1">IFERROR(__xludf.DUMMYFUNCTION("""COMPUTED_VALUE"""),"Svēta Karļa vēsturiska baznīca")</f>
        <v>Svēta Karļa vēsturiska baznīca</v>
      </c>
      <c r="L64" s="13" t="b">
        <f t="shared" ca="1" si="2"/>
        <v>0</v>
      </c>
      <c r="N64" s="8" t="str">
        <f ca="1">IFERROR(__xludf.DUMMYFUNCTION("""COMPUTED_VALUE"""),"Zaiga")</f>
        <v>Zaiga</v>
      </c>
      <c r="O64" s="13" t="b">
        <f t="shared" ca="1" si="3"/>
        <v>1</v>
      </c>
      <c r="Q64" s="8" t="str">
        <f ca="1">IFERROR(__xludf.DUMMYFUNCTION("""COMPUTED_VALUE"""),"Latvija ")</f>
        <v xml:space="preserve">Latvija </v>
      </c>
      <c r="R64" s="13" t="b">
        <f t="shared" ca="1" si="4"/>
        <v>0</v>
      </c>
      <c r="T64" s="8" t="str">
        <f ca="1">IFERROR(__xludf.DUMMYFUNCTION("""COMPUTED_VALUE"""),"GAISMA")</f>
        <v>GAISMA</v>
      </c>
      <c r="U64" s="13" t="b">
        <f t="shared" ca="1" si="5"/>
        <v>0</v>
      </c>
      <c r="W64" s="8" t="str">
        <f ca="1">IFERROR(__xludf.DUMMYFUNCTION("""COMPUTED_VALUE"""),"ROKĀS")</f>
        <v>ROKĀS</v>
      </c>
      <c r="X64" s="13" t="b">
        <f t="shared" ca="1" si="6"/>
        <v>1</v>
      </c>
      <c r="Z64" s="8" t="str">
        <f ca="1">IFERROR(__xludf.DUMMYFUNCTION("""COMPUTED_VALUE"""),"SAULGRIEŽI")</f>
        <v>SAULGRIEŽI</v>
      </c>
      <c r="AA64" s="13" t="b">
        <f t="shared" ca="1" si="7"/>
        <v>0</v>
      </c>
      <c r="AC64" s="8" t="str">
        <f ca="1">IFERROR(__xludf.DUMMYFUNCTION("""COMPUTED_VALUE"""),"SALAKA")</f>
        <v>SALAKA</v>
      </c>
      <c r="AD64" s="13" t="b">
        <f t="shared" ca="1" si="8"/>
        <v>0</v>
      </c>
      <c r="AF64" s="8" t="str">
        <f ca="1">IFERROR(__xludf.DUMMYFUNCTION("""COMPUTED_VALUE"""),"Lāpas")</f>
        <v>Lāpas</v>
      </c>
      <c r="AG64" s="13" t="b">
        <f t="shared" ca="1" si="9"/>
        <v>0</v>
      </c>
      <c r="AI64" s="8" t="str">
        <f ca="1">IFERROR(__xludf.DUMMYFUNCTION("""COMPUTED_VALUE"""),"DIBINĀTA")</f>
        <v>DIBINĀTA</v>
      </c>
      <c r="AJ64" s="13" t="b">
        <f t="shared" ca="1" si="10"/>
        <v>1</v>
      </c>
      <c r="AK64" s="7" t="b">
        <v>1</v>
      </c>
      <c r="AL64" s="8" t="str">
        <f ca="1">IFERROR(__xludf.DUMMYFUNCTION("""COMPUTED_VALUE"""),"NODABA")</f>
        <v>NODABA</v>
      </c>
      <c r="AM64" s="13" t="b">
        <f t="shared" ca="1" si="11"/>
        <v>1</v>
      </c>
      <c r="AO64" s="8" t="b">
        <f ca="1">COUNTIF(Rezultāti!C:C,G64)&gt;0</f>
        <v>1</v>
      </c>
    </row>
    <row r="65" spans="2:41" x14ac:dyDescent="0.25">
      <c r="B65" s="8" t="str">
        <f>IF(C65="","",IF(COUNTIF(Rezultāti!C:C,C65)=0,"Labot",""))</f>
        <v/>
      </c>
      <c r="C65" s="2" t="s">
        <v>17</v>
      </c>
      <c r="D65" s="8">
        <f t="shared" ca="1" si="1"/>
        <v>6</v>
      </c>
      <c r="E65" s="12">
        <f ca="1">IFERROR(__xludf.DUMMYFUNCTION("""COMPUTED_VALUE"""),45603.5356308564)</f>
        <v>45603.535630856401</v>
      </c>
      <c r="F65" s="8" t="str">
        <f ca="1">IFERROR(__xludf.DUMMYFUNCTION("""COMPUTED_VALUE"""),"Rīgas Valsts 2. ğimnāzija")</f>
        <v>Rīgas Valsts 2. ğimnāzija</v>
      </c>
      <c r="G65" s="8" t="str">
        <f ca="1">IFERROR(__xludf.DUMMYFUNCTION("""COMPUTED_VALUE"""),"Ğeometriski regresīvie ")</f>
        <v xml:space="preserve">Ğeometriski regresīvie </v>
      </c>
      <c r="H65" s="8" t="str">
        <f ca="1">IFERROR(__xludf.DUMMYFUNCTION("""COMPUTED_VALUE"""),"Toms Henrijs Čabs")</f>
        <v>Toms Henrijs Čabs</v>
      </c>
      <c r="I65" s="8" t="str">
        <f ca="1">IFERROR(__xludf.DUMMYFUNCTION("""COMPUTED_VALUE"""),"Ostns Pavlovs")</f>
        <v>Ostns Pavlovs</v>
      </c>
      <c r="J65" s="8" t="str">
        <f ca="1">IFERROR(__xludf.DUMMYFUNCTION("""COMPUTED_VALUE"""),"Artūrs Ņepomņaščijs")</f>
        <v>Artūrs Ņepomņaščijs</v>
      </c>
      <c r="K65" s="8" t="str">
        <f ca="1">IFERROR(__xludf.DUMMYFUNCTION("""COMPUTED_VALUE"""),"Doms")</f>
        <v>Doms</v>
      </c>
      <c r="L65" s="13" t="b">
        <f t="shared" ca="1" si="2"/>
        <v>1</v>
      </c>
      <c r="N65" s="8" t="str">
        <f ca="1">IFERROR(__xludf.DUMMYFUNCTION("""COMPUTED_VALUE"""),"Zaiga")</f>
        <v>Zaiga</v>
      </c>
      <c r="O65" s="13" t="b">
        <f t="shared" ca="1" si="3"/>
        <v>1</v>
      </c>
      <c r="Q65" s="8"/>
      <c r="R65" s="13" t="b">
        <f t="shared" si="4"/>
        <v>0</v>
      </c>
      <c r="T65" s="8" t="str">
        <f ca="1">IFERROR(__xludf.DUMMYFUNCTION("""COMPUTED_VALUE"""),"Tobāgo")</f>
        <v>Tobāgo</v>
      </c>
      <c r="U65" s="13" t="b">
        <f t="shared" ca="1" si="5"/>
        <v>1</v>
      </c>
      <c r="W65" s="8" t="str">
        <f ca="1">IFERROR(__xludf.DUMMYFUNCTION("""COMPUTED_VALUE"""),"Rokās")</f>
        <v>Rokās</v>
      </c>
      <c r="X65" s="13" t="b">
        <f t="shared" ca="1" si="6"/>
        <v>1</v>
      </c>
      <c r="Z65" s="8" t="str">
        <f ca="1">IFERROR(__xludf.DUMMYFUNCTION("""COMPUTED_VALUE"""),"Saulkrasti")</f>
        <v>Saulkrasti</v>
      </c>
      <c r="AA65" s="13" t="b">
        <f t="shared" ca="1" si="7"/>
        <v>0</v>
      </c>
      <c r="AC65" s="8" t="str">
        <f ca="1">IFERROR(__xludf.DUMMYFUNCTION("""COMPUTED_VALUE"""),"Skalas")</f>
        <v>Skalas</v>
      </c>
      <c r="AD65" s="13" t="b">
        <f t="shared" ca="1" si="8"/>
        <v>0</v>
      </c>
      <c r="AF65" s="8" t="str">
        <f ca="1">IFERROR(__xludf.DUMMYFUNCTION("""COMPUTED_VALUE"""),"Aplim")</f>
        <v>Aplim</v>
      </c>
      <c r="AG65" s="13" t="b">
        <f t="shared" ca="1" si="9"/>
        <v>0</v>
      </c>
      <c r="AI65" s="8" t="str">
        <f ca="1">IFERROR(__xludf.DUMMYFUNCTION("""COMPUTED_VALUE"""),"Dibināja")</f>
        <v>Dibināja</v>
      </c>
      <c r="AJ65" s="13" t="b">
        <f t="shared" ca="1" si="10"/>
        <v>0</v>
      </c>
      <c r="AK65" s="7" t="b">
        <v>1</v>
      </c>
      <c r="AL65" s="8" t="str">
        <f ca="1">IFERROR(__xludf.DUMMYFUNCTION("""COMPUTED_VALUE"""),"Nodaba")</f>
        <v>Nodaba</v>
      </c>
      <c r="AM65" s="13" t="b">
        <f t="shared" ca="1" si="11"/>
        <v>1</v>
      </c>
      <c r="AO65" s="8" t="b">
        <f ca="1">COUNTIF(Rezultāti!C:C,G65)&gt;0</f>
        <v>0</v>
      </c>
    </row>
    <row r="66" spans="2:41" x14ac:dyDescent="0.25">
      <c r="B66" s="8" t="str">
        <f>IF(C66="","",IF(COUNTIF(Rezultāti!C:C,C66)=0,"Labot",""))</f>
        <v/>
      </c>
      <c r="C66" s="2" t="s">
        <v>109</v>
      </c>
      <c r="D66" s="8">
        <f t="shared" ca="1" si="1"/>
        <v>3</v>
      </c>
      <c r="E66" s="12">
        <f ca="1">IFERROR(__xludf.DUMMYFUNCTION("""COMPUTED_VALUE"""),45603.5359219675)</f>
        <v>45603.535921967501</v>
      </c>
      <c r="F66" s="8" t="str">
        <f ca="1">IFERROR(__xludf.DUMMYFUNCTION("""COMPUTED_VALUE"""),"Rīgas Ziemeļvalstu ģimnāzija")</f>
        <v>Rīgas Ziemeļvalstu ģimnāzija</v>
      </c>
      <c r="G66" s="8" t="str">
        <f ca="1">IFERROR(__xludf.DUMMYFUNCTION("""COMPUTED_VALUE"""),"Rød Grød Med Fløde")</f>
        <v>Rød Grød Med Fløde</v>
      </c>
      <c r="H66" s="8" t="str">
        <f ca="1">IFERROR(__xludf.DUMMYFUNCTION("""COMPUTED_VALUE"""),"Niks Dumbergs")</f>
        <v>Niks Dumbergs</v>
      </c>
      <c r="I66" s="8" t="str">
        <f ca="1">IFERROR(__xludf.DUMMYFUNCTION("""COMPUTED_VALUE"""),"Eduards Gončars")</f>
        <v>Eduards Gončars</v>
      </c>
      <c r="J66" s="8" t="str">
        <f ca="1">IFERROR(__xludf.DUMMYFUNCTION("""COMPUTED_VALUE"""),"Kristaps Tenis")</f>
        <v>Kristaps Tenis</v>
      </c>
      <c r="K66" s="8"/>
      <c r="L66" s="13" t="b">
        <f t="shared" si="2"/>
        <v>0</v>
      </c>
      <c r="N66" s="8" t="str">
        <f ca="1">IFERROR(__xludf.DUMMYFUNCTION("""COMPUTED_VALUE"""),"Zaiga")</f>
        <v>Zaiga</v>
      </c>
      <c r="O66" s="13" t="b">
        <f t="shared" ca="1" si="3"/>
        <v>1</v>
      </c>
      <c r="Q66" s="8"/>
      <c r="R66" s="13" t="b">
        <f t="shared" si="4"/>
        <v>0</v>
      </c>
      <c r="T66" s="8"/>
      <c r="U66" s="13" t="b">
        <f t="shared" si="5"/>
        <v>0</v>
      </c>
      <c r="W66" s="8" t="str">
        <f ca="1">IFERROR(__xludf.DUMMYFUNCTION("""COMPUTED_VALUE"""),"Rokās")</f>
        <v>Rokās</v>
      </c>
      <c r="X66" s="13" t="b">
        <f t="shared" ca="1" si="6"/>
        <v>1</v>
      </c>
      <c r="Z66" s="8"/>
      <c r="AA66" s="13" t="b">
        <f t="shared" si="7"/>
        <v>0</v>
      </c>
      <c r="AC66" s="8"/>
      <c r="AD66" s="13" t="b">
        <f t="shared" si="8"/>
        <v>0</v>
      </c>
      <c r="AF66" s="8"/>
      <c r="AG66" s="13" t="b">
        <f t="shared" si="9"/>
        <v>0</v>
      </c>
      <c r="AI66" s="8" t="str">
        <f ca="1">IFERROR(__xludf.DUMMYFUNCTION("""COMPUTED_VALUE"""),"Iekaroja")</f>
        <v>Iekaroja</v>
      </c>
      <c r="AJ66" s="13" t="b">
        <f t="shared" ca="1" si="10"/>
        <v>0</v>
      </c>
      <c r="AL66" s="8" t="str">
        <f ca="1">IFERROR(__xludf.DUMMYFUNCTION("""COMPUTED_VALUE"""),"Nodaba")</f>
        <v>Nodaba</v>
      </c>
      <c r="AM66" s="13" t="b">
        <f t="shared" ca="1" si="11"/>
        <v>1</v>
      </c>
      <c r="AO66" s="8" t="b">
        <f ca="1">COUNTIF(Rezultāti!C:C,G66)&gt;0</f>
        <v>0</v>
      </c>
    </row>
    <row r="67" spans="2:41" hidden="1" x14ac:dyDescent="0.25">
      <c r="B67" s="8" t="str">
        <f ca="1">IF(C67="","",IF(COUNTIF(Rezultāti!C:C,C67)=0,"Labot",""))</f>
        <v/>
      </c>
      <c r="C67" s="8" t="str">
        <f t="shared" ref="C67:C71" ca="1" si="14">IF(COUNTIF(C68:C264,G67)=0,G67,"")</f>
        <v/>
      </c>
      <c r="D67" s="8">
        <f t="shared" ca="1" si="1"/>
        <v>5</v>
      </c>
      <c r="E67" s="12">
        <f ca="1">IFERROR(__xludf.DUMMYFUNCTION("""COMPUTED_VALUE"""),45603.5362260763)</f>
        <v>45603.536226076299</v>
      </c>
      <c r="F67" s="8" t="str">
        <f ca="1">IFERROR(__xludf.DUMMYFUNCTION("""COMPUTED_VALUE"""),"Rīgas Lietuviešu vidusskola")</f>
        <v>Rīgas Lietuviešu vidusskola</v>
      </c>
      <c r="G67" s="8" t="str">
        <f ca="1">IFERROR(__xludf.DUMMYFUNCTION("""COMPUTED_VALUE"""),"Atjautības avoti")</f>
        <v>Atjautības avoti</v>
      </c>
      <c r="H67" s="8" t="str">
        <f ca="1">IFERROR(__xludf.DUMMYFUNCTION("""COMPUTED_VALUE"""),"Elīza Loca")</f>
        <v>Elīza Loca</v>
      </c>
      <c r="I67" s="8" t="str">
        <f ca="1">IFERROR(__xludf.DUMMYFUNCTION("""COMPUTED_VALUE"""),"Frančeska Stafecka")</f>
        <v>Frančeska Stafecka</v>
      </c>
      <c r="J67" s="8" t="str">
        <f ca="1">IFERROR(__xludf.DUMMYFUNCTION("""COMPUTED_VALUE"""),"Paula Burgmane")</f>
        <v>Paula Burgmane</v>
      </c>
      <c r="K67" s="8" t="str">
        <f ca="1">IFERROR(__xludf.DUMMYFUNCTION("""COMPUTED_VALUE"""),"Rīgas Centra daiļamatniecības pamatskola")</f>
        <v>Rīgas Centra daiļamatniecības pamatskola</v>
      </c>
      <c r="L67" s="13" t="b">
        <f t="shared" ca="1" si="2"/>
        <v>0</v>
      </c>
      <c r="N67" s="8" t="str">
        <f ca="1">IFERROR(__xludf.DUMMYFUNCTION("""COMPUTED_VALUE"""),"Zaiga")</f>
        <v>Zaiga</v>
      </c>
      <c r="O67" s="13" t="b">
        <f t="shared" ca="1" si="3"/>
        <v>1</v>
      </c>
      <c r="Q67" s="8"/>
      <c r="R67" s="13" t="b">
        <f t="shared" si="4"/>
        <v>0</v>
      </c>
      <c r="T67" s="8" t="str">
        <f ca="1">IFERROR(__xludf.DUMMYFUNCTION("""COMPUTED_VALUE"""),"tobāgo")</f>
        <v>tobāgo</v>
      </c>
      <c r="U67" s="13" t="b">
        <f t="shared" ca="1" si="5"/>
        <v>1</v>
      </c>
      <c r="W67" s="8" t="str">
        <f ca="1">IFERROR(__xludf.DUMMYFUNCTION("""COMPUTED_VALUE"""),"rokās")</f>
        <v>rokās</v>
      </c>
      <c r="X67" s="13" t="b">
        <f t="shared" ca="1" si="6"/>
        <v>1</v>
      </c>
      <c r="Z67" s="8" t="str">
        <f ca="1">IFERROR(__xludf.DUMMYFUNCTION("""COMPUTED_VALUE"""),"kuģniecība")</f>
        <v>kuģniecība</v>
      </c>
      <c r="AA67" s="13" t="b">
        <f t="shared" ca="1" si="7"/>
        <v>0</v>
      </c>
      <c r="AC67" s="8" t="str">
        <f ca="1">IFERROR(__xludf.DUMMYFUNCTION("""COMPUTED_VALUE"""),"līstes")</f>
        <v>līstes</v>
      </c>
      <c r="AD67" s="13" t="b">
        <f t="shared" ca="1" si="8"/>
        <v>0</v>
      </c>
      <c r="AF67" s="8"/>
      <c r="AG67" s="13" t="b">
        <f t="shared" si="9"/>
        <v>0</v>
      </c>
      <c r="AI67" s="8" t="str">
        <f ca="1">IFERROR(__xludf.DUMMYFUNCTION("""COMPUTED_VALUE"""),"dibināta")</f>
        <v>dibināta</v>
      </c>
      <c r="AJ67" s="13" t="b">
        <f t="shared" ca="1" si="10"/>
        <v>1</v>
      </c>
      <c r="AK67" s="7" t="b">
        <v>1</v>
      </c>
      <c r="AL67" s="8" t="str">
        <f ca="1">IFERROR(__xludf.DUMMYFUNCTION("""COMPUTED_VALUE"""),"nodaba")</f>
        <v>nodaba</v>
      </c>
      <c r="AM67" s="13" t="b">
        <f t="shared" ca="1" si="11"/>
        <v>1</v>
      </c>
      <c r="AO67" s="8" t="b">
        <f ca="1">COUNTIF(Rezultāti!C:C,G67)&gt;0</f>
        <v>1</v>
      </c>
    </row>
    <row r="68" spans="2:41" x14ac:dyDescent="0.25">
      <c r="B68" s="8" t="str">
        <f ca="1">IF(C68="","",IF(COUNTIF(Rezultāti!C:C,C68)=0,"Labot",""))</f>
        <v/>
      </c>
      <c r="C68" s="8" t="str">
        <f t="shared" ca="1" si="14"/>
        <v>Lambda</v>
      </c>
      <c r="D68" s="8">
        <f t="shared" ca="1" si="1"/>
        <v>4</v>
      </c>
      <c r="E68" s="12">
        <f ca="1">IFERROR(__xludf.DUMMYFUNCTION("""COMPUTED_VALUE"""),45603.5362879166)</f>
        <v>45603.536287916599</v>
      </c>
      <c r="F68" s="8" t="str">
        <f ca="1">IFERROR(__xludf.DUMMYFUNCTION("""COMPUTED_VALUE"""),"Rīgas Purvciema vidusskola")</f>
        <v>Rīgas Purvciema vidusskola</v>
      </c>
      <c r="G68" s="8" t="str">
        <f ca="1">IFERROR(__xludf.DUMMYFUNCTION("""COMPUTED_VALUE"""),"Lambda")</f>
        <v>Lambda</v>
      </c>
      <c r="H68" s="8" t="str">
        <f ca="1">IFERROR(__xludf.DUMMYFUNCTION("""COMPUTED_VALUE"""),"Timurs Timofejs Ulanovs")</f>
        <v>Timurs Timofejs Ulanovs</v>
      </c>
      <c r="I68" s="8" t="str">
        <f ca="1">IFERROR(__xludf.DUMMYFUNCTION("""COMPUTED_VALUE"""),"Kristiāns Volkovs")</f>
        <v>Kristiāns Volkovs</v>
      </c>
      <c r="J68" s="8" t="str">
        <f ca="1">IFERROR(__xludf.DUMMYFUNCTION("""COMPUTED_VALUE"""),"Oļegs Dubovskis")</f>
        <v>Oļegs Dubovskis</v>
      </c>
      <c r="K68" s="8" t="str">
        <f ca="1">IFERROR(__xludf.DUMMYFUNCTION("""COMPUTED_VALUE"""),"Svēta Kāraļa baznīca")</f>
        <v>Svēta Kāraļa baznīca</v>
      </c>
      <c r="L68" s="13" t="b">
        <f t="shared" ca="1" si="2"/>
        <v>0</v>
      </c>
      <c r="N68" s="8" t="str">
        <f ca="1">IFERROR(__xludf.DUMMYFUNCTION("""COMPUTED_VALUE"""),"Zaiga")</f>
        <v>Zaiga</v>
      </c>
      <c r="O68" s="13" t="b">
        <f t="shared" ca="1" si="3"/>
        <v>1</v>
      </c>
      <c r="Q68" s="8" t="str">
        <f ca="1">IFERROR(__xludf.DUMMYFUNCTION("""COMPUTED_VALUE"""),"brīvība")</f>
        <v>brīvība</v>
      </c>
      <c r="R68" s="13" t="b">
        <f t="shared" ca="1" si="4"/>
        <v>0</v>
      </c>
      <c r="T68" s="8" t="str">
        <f ca="1">IFERROR(__xludf.DUMMYFUNCTION("""COMPUTED_VALUE"""),"lāzeri")</f>
        <v>lāzeri</v>
      </c>
      <c r="U68" s="13" t="b">
        <f t="shared" ca="1" si="5"/>
        <v>0</v>
      </c>
      <c r="W68" s="8" t="str">
        <f ca="1">IFERROR(__xludf.DUMMYFUNCTION("""COMPUTED_VALUE"""),"rokās")</f>
        <v>rokās</v>
      </c>
      <c r="X68" s="13" t="b">
        <f t="shared" ca="1" si="6"/>
        <v>1</v>
      </c>
      <c r="Z68" s="8" t="str">
        <f ca="1">IFERROR(__xludf.DUMMYFUNCTION("""COMPUTED_VALUE"""),"saulgrieži")</f>
        <v>saulgrieži</v>
      </c>
      <c r="AA68" s="13" t="b">
        <f t="shared" ca="1" si="7"/>
        <v>0</v>
      </c>
      <c r="AC68" s="8" t="str">
        <f ca="1">IFERROR(__xludf.DUMMYFUNCTION("""COMPUTED_VALUE"""),"salaka")</f>
        <v>salaka</v>
      </c>
      <c r="AD68" s="13" t="b">
        <f t="shared" ca="1" si="8"/>
        <v>0</v>
      </c>
      <c r="AF68" s="8" t="str">
        <f ca="1">IFERROR(__xludf.DUMMYFUNCTION("""COMPUTED_VALUE"""),"lāpas")</f>
        <v>lāpas</v>
      </c>
      <c r="AG68" s="13" t="b">
        <f t="shared" ca="1" si="9"/>
        <v>0</v>
      </c>
      <c r="AI68" s="8" t="str">
        <f ca="1">IFERROR(__xludf.DUMMYFUNCTION("""COMPUTED_VALUE"""),"dibināta")</f>
        <v>dibināta</v>
      </c>
      <c r="AJ68" s="13" t="b">
        <f t="shared" ca="1" si="10"/>
        <v>1</v>
      </c>
      <c r="AK68" s="7" t="b">
        <v>1</v>
      </c>
      <c r="AL68" s="8" t="str">
        <f ca="1">IFERROR(__xludf.DUMMYFUNCTION("""COMPUTED_VALUE"""),"nodaba")</f>
        <v>nodaba</v>
      </c>
      <c r="AM68" s="13" t="b">
        <f t="shared" ca="1" si="11"/>
        <v>1</v>
      </c>
      <c r="AO68" s="8" t="b">
        <f ca="1">COUNTIF(Rezultāti!C:C,G68)&gt;0</f>
        <v>1</v>
      </c>
    </row>
    <row r="69" spans="2:41" x14ac:dyDescent="0.25">
      <c r="B69" s="8" t="str">
        <f ca="1">IF(C69="","",IF(COUNTIF(Rezultāti!C:C,C69)=0,"Labot",""))</f>
        <v/>
      </c>
      <c r="C69" s="8" t="str">
        <f t="shared" ca="1" si="14"/>
        <v>El Machos</v>
      </c>
      <c r="D69" s="8">
        <f t="shared" ca="1" si="1"/>
        <v>4</v>
      </c>
      <c r="E69" s="12">
        <f ca="1">IFERROR(__xludf.DUMMYFUNCTION("""COMPUTED_VALUE"""),45603.5363436458)</f>
        <v>45603.536343645799</v>
      </c>
      <c r="F69" s="8" t="str">
        <f ca="1">IFERROR(__xludf.DUMMYFUNCTION("""COMPUTED_VALUE"""),"Rīgas 92. Vidusskola ")</f>
        <v xml:space="preserve">Rīgas 92. Vidusskola </v>
      </c>
      <c r="G69" s="8" t="str">
        <f ca="1">IFERROR(__xludf.DUMMYFUNCTION("""COMPUTED_VALUE"""),"El Machos")</f>
        <v>El Machos</v>
      </c>
      <c r="H69" s="8" t="str">
        <f ca="1">IFERROR(__xludf.DUMMYFUNCTION("""COMPUTED_VALUE"""),"Deniss Kižlo")</f>
        <v>Deniss Kižlo</v>
      </c>
      <c r="I69" s="8" t="str">
        <f ca="1">IFERROR(__xludf.DUMMYFUNCTION("""COMPUTED_VALUE"""),"Artjoms Husainovs ")</f>
        <v xml:space="preserve">Artjoms Husainovs </v>
      </c>
      <c r="J69" s="8" t="str">
        <f ca="1">IFERROR(__xludf.DUMMYFUNCTION("""COMPUTED_VALUE"""),"Timurs Mežinskis ")</f>
        <v xml:space="preserve">Timurs Mežinskis </v>
      </c>
      <c r="K69" s="8" t="str">
        <f ca="1">IFERROR(__xludf.DUMMYFUNCTION("""COMPUTED_VALUE"""),"RUNDĀLE")</f>
        <v>RUNDĀLE</v>
      </c>
      <c r="L69" s="13" t="b">
        <f t="shared" ca="1" si="2"/>
        <v>0</v>
      </c>
      <c r="N69" s="8" t="str">
        <f ca="1">IFERROR(__xludf.DUMMYFUNCTION("""COMPUTED_VALUE"""),"ZAIGA")</f>
        <v>ZAIGA</v>
      </c>
      <c r="O69" s="13" t="b">
        <f t="shared" ca="1" si="3"/>
        <v>1</v>
      </c>
      <c r="Q69" s="8" t="str">
        <f ca="1">IFERROR(__xludf.DUMMYFUNCTION("""COMPUTED_VALUE"""),"BRĪVĪBA")</f>
        <v>BRĪVĪBA</v>
      </c>
      <c r="R69" s="13" t="b">
        <f t="shared" ca="1" si="4"/>
        <v>0</v>
      </c>
      <c r="T69" s="8" t="str">
        <f ca="1">IFERROR(__xludf.DUMMYFUNCTION("""COMPUTED_VALUE"""),"KOMETA")</f>
        <v>KOMETA</v>
      </c>
      <c r="U69" s="13" t="b">
        <f t="shared" ca="1" si="5"/>
        <v>0</v>
      </c>
      <c r="W69" s="8" t="str">
        <f ca="1">IFERROR(__xludf.DUMMYFUNCTION("""COMPUTED_VALUE"""),"ROKAS")</f>
        <v>ROKAS</v>
      </c>
      <c r="X69" s="13" t="b">
        <f t="shared" ca="1" si="6"/>
        <v>0</v>
      </c>
      <c r="Y69" s="7" t="b">
        <v>1</v>
      </c>
      <c r="Z69" s="8" t="str">
        <f ca="1">IFERROR(__xludf.DUMMYFUNCTION("""COMPUTED_VALUE"""),"AIZKRAUKLE")</f>
        <v>AIZKRAUKLE</v>
      </c>
      <c r="AA69" s="13" t="b">
        <f t="shared" ca="1" si="7"/>
        <v>0</v>
      </c>
      <c r="AC69" s="8" t="str">
        <f ca="1">IFERROR(__xludf.DUMMYFUNCTION("""COMPUTED_VALUE"""),"SLAVET")</f>
        <v>SLAVET</v>
      </c>
      <c r="AD69" s="13" t="b">
        <f t="shared" ca="1" si="8"/>
        <v>0</v>
      </c>
      <c r="AF69" s="8" t="str">
        <f ca="1">IFERROR(__xludf.DUMMYFUNCTION("""COMPUTED_VALUE"""),"VILNI")</f>
        <v>VILNI</v>
      </c>
      <c r="AG69" s="13" t="b">
        <f t="shared" ca="1" si="9"/>
        <v>0</v>
      </c>
      <c r="AI69" s="8" t="str">
        <f ca="1">IFERROR(__xludf.DUMMYFUNCTION("""COMPUTED_VALUE"""),"DIBINĀTA")</f>
        <v>DIBINĀTA</v>
      </c>
      <c r="AJ69" s="13" t="b">
        <f t="shared" ca="1" si="10"/>
        <v>1</v>
      </c>
      <c r="AK69" s="7" t="b">
        <v>1</v>
      </c>
      <c r="AL69" s="8" t="str">
        <f ca="1">IFERROR(__xludf.DUMMYFUNCTION("""COMPUTED_VALUE"""),"NODABA")</f>
        <v>NODABA</v>
      </c>
      <c r="AM69" s="13" t="b">
        <f t="shared" ca="1" si="11"/>
        <v>1</v>
      </c>
      <c r="AO69" s="8" t="b">
        <f ca="1">COUNTIF(Rezultāti!C:C,G69)&gt;0</f>
        <v>1</v>
      </c>
    </row>
    <row r="70" spans="2:41" hidden="1" x14ac:dyDescent="0.25">
      <c r="B70" s="8" t="str">
        <f ca="1">IF(C70="","",IF(COUNTIF(Rezultāti!C:C,C70)=0,"Labot",""))</f>
        <v>Labot</v>
      </c>
      <c r="C70" s="8" t="str">
        <f t="shared" ca="1" si="14"/>
        <v>Mira aurora</v>
      </c>
      <c r="D70" s="8">
        <f t="shared" ca="1" si="1"/>
        <v>3</v>
      </c>
      <c r="E70" s="12">
        <f ca="1">IFERROR(__xludf.DUMMYFUNCTION("""COMPUTED_VALUE"""),45603.5363470486)</f>
        <v>45603.536347048597</v>
      </c>
      <c r="F70" s="8" t="str">
        <f ca="1">IFERROR(__xludf.DUMMYFUNCTION("""COMPUTED_VALUE"""),"86. Rīgas vidusskola")</f>
        <v>86. Rīgas vidusskola</v>
      </c>
      <c r="G70" s="8" t="str">
        <f ca="1">IFERROR(__xludf.DUMMYFUNCTION("""COMPUTED_VALUE"""),"Mira aurora")</f>
        <v>Mira aurora</v>
      </c>
      <c r="H70" s="8" t="str">
        <f ca="1">IFERROR(__xludf.DUMMYFUNCTION("""COMPUTED_VALUE"""),"Dmitrijs Marčenko")</f>
        <v>Dmitrijs Marčenko</v>
      </c>
      <c r="I70" s="8" t="str">
        <f ca="1">IFERROR(__xludf.DUMMYFUNCTION("""COMPUTED_VALUE"""),"Klimentijs Rjabinovs")</f>
        <v>Klimentijs Rjabinovs</v>
      </c>
      <c r="J70" s="8" t="str">
        <f ca="1">IFERROR(__xludf.DUMMYFUNCTION("""COMPUTED_VALUE"""),"Viktorija Kozlovska")</f>
        <v>Viktorija Kozlovska</v>
      </c>
      <c r="K70" s="8" t="str">
        <f ca="1">IFERROR(__xludf.DUMMYFUNCTION("""COMPUTED_VALUE"""),"Pils")</f>
        <v>Pils</v>
      </c>
      <c r="L70" s="13" t="b">
        <f t="shared" ca="1" si="2"/>
        <v>0</v>
      </c>
      <c r="N70" s="8" t="str">
        <f ca="1">IFERROR(__xludf.DUMMYFUNCTION("""COMPUTED_VALUE"""),"Zaiga")</f>
        <v>Zaiga</v>
      </c>
      <c r="O70" s="13" t="b">
        <f t="shared" ca="1" si="3"/>
        <v>1</v>
      </c>
      <c r="Q70" s="8" t="str">
        <f ca="1">IFERROR(__xludf.DUMMYFUNCTION("""COMPUTED_VALUE"""),"Ķpipars")</f>
        <v>Ķpipars</v>
      </c>
      <c r="R70" s="13" t="b">
        <f t="shared" ca="1" si="4"/>
        <v>0</v>
      </c>
      <c r="T70" s="8" t="str">
        <f ca="1">IFERROR(__xludf.DUMMYFUNCTION("""COMPUTED_VALUE"""),"Savieno")</f>
        <v>Savieno</v>
      </c>
      <c r="U70" s="13" t="b">
        <f t="shared" ca="1" si="5"/>
        <v>0</v>
      </c>
      <c r="W70" s="8" t="str">
        <f ca="1">IFERROR(__xludf.DUMMYFUNCTION("""COMPUTED_VALUE"""),"Rokas")</f>
        <v>Rokas</v>
      </c>
      <c r="X70" s="13" t="b">
        <f t="shared" ca="1" si="6"/>
        <v>0</v>
      </c>
      <c r="Y70" s="7" t="b">
        <v>1</v>
      </c>
      <c r="Z70" s="8" t="str">
        <f ca="1">IFERROR(__xludf.DUMMYFUNCTION("""COMPUTED_VALUE"""),"Pulkstenis")</f>
        <v>Pulkstenis</v>
      </c>
      <c r="AA70" s="13" t="b">
        <f t="shared" ca="1" si="7"/>
        <v>0</v>
      </c>
      <c r="AC70" s="8" t="str">
        <f ca="1">IFERROR(__xludf.DUMMYFUNCTION("""COMPUTED_VALUE"""),"Slavda")</f>
        <v>Slavda</v>
      </c>
      <c r="AD70" s="13" t="b">
        <f t="shared" ca="1" si="8"/>
        <v>0</v>
      </c>
      <c r="AF70" s="8" t="str">
        <f ca="1">IFERROR(__xludf.DUMMYFUNCTION("""COMPUTED_VALUE"""),"Lerts")</f>
        <v>Lerts</v>
      </c>
      <c r="AG70" s="13" t="b">
        <f t="shared" ca="1" si="9"/>
        <v>0</v>
      </c>
      <c r="AI70" s="8" t="str">
        <f ca="1">IFERROR(__xludf.DUMMYFUNCTION("""COMPUTED_VALUE"""),"Koncerts")</f>
        <v>Koncerts</v>
      </c>
      <c r="AJ70" s="13" t="b">
        <f t="shared" ca="1" si="10"/>
        <v>0</v>
      </c>
      <c r="AL70" s="8" t="str">
        <f ca="1">IFERROR(__xludf.DUMMYFUNCTION("""COMPUTED_VALUE"""),"Nodaba")</f>
        <v>Nodaba</v>
      </c>
      <c r="AM70" s="13" t="b">
        <f t="shared" ca="1" si="11"/>
        <v>1</v>
      </c>
      <c r="AO70" s="8" t="b">
        <f ca="1">COUNTIF(Rezultāti!C:C,G70)&gt;0</f>
        <v>0</v>
      </c>
    </row>
    <row r="71" spans="2:41" x14ac:dyDescent="0.25">
      <c r="B71" s="8" t="str">
        <f ca="1">IF(C71="","",IF(COUNTIF(Rezultāti!C:C,C71)=0,"Labot",""))</f>
        <v/>
      </c>
      <c r="C71" s="8" t="str">
        <f t="shared" ca="1" si="14"/>
        <v>Reversīvie prāti</v>
      </c>
      <c r="D71" s="8">
        <f t="shared" ca="1" si="1"/>
        <v>4</v>
      </c>
      <c r="E71" s="12">
        <f ca="1">IFERROR(__xludf.DUMMYFUNCTION("""COMPUTED_VALUE"""),45603.5365790046)</f>
        <v>45603.536579004598</v>
      </c>
      <c r="F71" s="8" t="str">
        <f ca="1">IFERROR(__xludf.DUMMYFUNCTION("""COMPUTED_VALUE"""),"Rīgas 72 vidusskola ")</f>
        <v xml:space="preserve">Rīgas 72 vidusskola </v>
      </c>
      <c r="G71" s="8" t="str">
        <f ca="1">IFERROR(__xludf.DUMMYFUNCTION("""COMPUTED_VALUE"""),"Reversīvie prāti")</f>
        <v>Reversīvie prāti</v>
      </c>
      <c r="H71" s="8" t="str">
        <f ca="1">IFERROR(__xludf.DUMMYFUNCTION("""COMPUTED_VALUE"""),"Vadims Verņidibs ")</f>
        <v xml:space="preserve">Vadims Verņidibs </v>
      </c>
      <c r="I71" s="8" t="str">
        <f ca="1">IFERROR(__xludf.DUMMYFUNCTION("""COMPUTED_VALUE"""),"Andrejs Kotovs")</f>
        <v>Andrejs Kotovs</v>
      </c>
      <c r="J71" s="8" t="str">
        <f ca="1">IFERROR(__xludf.DUMMYFUNCTION("""COMPUTED_VALUE"""),"Mihails Meļkovs")</f>
        <v>Mihails Meļkovs</v>
      </c>
      <c r="K71" s="8" t="str">
        <f ca="1">IFERROR(__xludf.DUMMYFUNCTION("""COMPUTED_VALUE"""),"Melnglavu nams")</f>
        <v>Melnglavu nams</v>
      </c>
      <c r="L71" s="13" t="b">
        <f t="shared" ca="1" si="2"/>
        <v>0</v>
      </c>
      <c r="N71" s="8" t="str">
        <f ca="1">IFERROR(__xludf.DUMMYFUNCTION("""COMPUTED_VALUE"""),"Zaiga")</f>
        <v>Zaiga</v>
      </c>
      <c r="O71" s="13" t="b">
        <f t="shared" ca="1" si="3"/>
        <v>1</v>
      </c>
      <c r="Q71" s="8" t="str">
        <f ca="1">IFERROR(__xludf.DUMMYFUNCTION("""COMPUTED_VALUE"""),"Stropiņi")</f>
        <v>Stropiņi</v>
      </c>
      <c r="R71" s="13" t="b">
        <f t="shared" ca="1" si="4"/>
        <v>0</v>
      </c>
      <c r="T71" s="8" t="str">
        <f ca="1">IFERROR(__xludf.DUMMYFUNCTION("""COMPUTED_VALUE"""),"Tetris")</f>
        <v>Tetris</v>
      </c>
      <c r="U71" s="13" t="b">
        <f t="shared" ca="1" si="5"/>
        <v>0</v>
      </c>
      <c r="W71" s="8" t="str">
        <f ca="1">IFERROR(__xludf.DUMMYFUNCTION("""COMPUTED_VALUE"""),"Rokās")</f>
        <v>Rokās</v>
      </c>
      <c r="X71" s="13" t="b">
        <f t="shared" ca="1" si="6"/>
        <v>1</v>
      </c>
      <c r="Z71" s="8" t="str">
        <f ca="1">IFERROR(__xludf.DUMMYFUNCTION("""COMPUTED_VALUE"""),"Daugavpils")</f>
        <v>Daugavpils</v>
      </c>
      <c r="AA71" s="13" t="b">
        <f t="shared" ca="1" si="7"/>
        <v>0</v>
      </c>
      <c r="AC71" s="8"/>
      <c r="AD71" s="13" t="b">
        <f t="shared" si="8"/>
        <v>0</v>
      </c>
      <c r="AF71" s="8"/>
      <c r="AG71" s="13" t="b">
        <f t="shared" si="9"/>
        <v>0</v>
      </c>
      <c r="AI71" s="8" t="str">
        <f ca="1">IFERROR(__xludf.DUMMYFUNCTION("""COMPUTED_VALUE"""),"Dibināta")</f>
        <v>Dibināta</v>
      </c>
      <c r="AJ71" s="13" t="b">
        <f t="shared" ca="1" si="10"/>
        <v>1</v>
      </c>
      <c r="AK71" s="7" t="b">
        <v>1</v>
      </c>
      <c r="AL71" s="8" t="str">
        <f ca="1">IFERROR(__xludf.DUMMYFUNCTION("""COMPUTED_VALUE"""),"Nodaba")</f>
        <v>Nodaba</v>
      </c>
      <c r="AM71" s="13" t="b">
        <f t="shared" ca="1" si="11"/>
        <v>1</v>
      </c>
      <c r="AO71" s="8" t="b">
        <f ca="1">COUNTIF(Rezultāti!C:C,G71)&gt;0</f>
        <v>1</v>
      </c>
    </row>
    <row r="72" spans="2:41" x14ac:dyDescent="0.25">
      <c r="B72" s="8" t="str">
        <f>IF(C72="","",IF(COUNTIF(Rezultāti!C:C,C72)=0,"Labot",""))</f>
        <v/>
      </c>
      <c r="C72" s="2" t="s">
        <v>83</v>
      </c>
      <c r="D72" s="8">
        <f t="shared" ca="1" si="1"/>
        <v>3</v>
      </c>
      <c r="E72" s="12">
        <f ca="1">IFERROR(__xludf.DUMMYFUNCTION("""COMPUTED_VALUE"""),45603.536841412)</f>
        <v>45603.536841412002</v>
      </c>
      <c r="F72" s="8" t="str">
        <f ca="1">IFERROR(__xludf.DUMMYFUNCTION("""COMPUTED_VALUE"""),"Rīgas Valsts Klasiska ģimnāzija")</f>
        <v>Rīgas Valsts Klasiska ģimnāzija</v>
      </c>
      <c r="G72" s="8" t="str">
        <f ca="1">IFERROR(__xludf.DUMMYFUNCTION("""COMPUTED_VALUE"""),"Rawr")</f>
        <v>Rawr</v>
      </c>
      <c r="H72" s="8" t="str">
        <f ca="1">IFERROR(__xludf.DUMMYFUNCTION("""COMPUTED_VALUE"""),"Elīna Hačaturjane")</f>
        <v>Elīna Hačaturjane</v>
      </c>
      <c r="I72" s="8" t="str">
        <f ca="1">IFERROR(__xludf.DUMMYFUNCTION("""COMPUTED_VALUE"""),"Nikita Kaličaks")</f>
        <v>Nikita Kaličaks</v>
      </c>
      <c r="J72" s="8" t="str">
        <f ca="1">IFERROR(__xludf.DUMMYFUNCTION("""COMPUTED_VALUE"""),"Anastasija Tolujeva")</f>
        <v>Anastasija Tolujeva</v>
      </c>
      <c r="K72" s="8" t="str">
        <f ca="1">IFERROR(__xludf.DUMMYFUNCTION("""COMPUTED_VALUE"""),"Ausekļu dzirnavas")</f>
        <v>Ausekļu dzirnavas</v>
      </c>
      <c r="L72" s="13" t="b">
        <f t="shared" ca="1" si="2"/>
        <v>0</v>
      </c>
      <c r="N72" s="8" t="str">
        <f ca="1">IFERROR(__xludf.DUMMYFUNCTION("""COMPUTED_VALUE"""),"Zaiga")</f>
        <v>Zaiga</v>
      </c>
      <c r="O72" s="13" t="b">
        <f t="shared" ca="1" si="3"/>
        <v>1</v>
      </c>
      <c r="Q72" s="8" t="str">
        <f ca="1">IFERROR(__xludf.DUMMYFUNCTION("""COMPUTED_VALUE"""),"vēsturē")</f>
        <v>vēsturē</v>
      </c>
      <c r="R72" s="13" t="b">
        <f t="shared" ca="1" si="4"/>
        <v>0</v>
      </c>
      <c r="T72" s="8" t="str">
        <f ca="1">IFERROR(__xludf.DUMMYFUNCTION("""COMPUTED_VALUE"""),"mitfja")</f>
        <v>mitfja</v>
      </c>
      <c r="U72" s="13" t="b">
        <f t="shared" ca="1" si="5"/>
        <v>0</v>
      </c>
      <c r="W72" s="8" t="str">
        <f ca="1">IFERROR(__xludf.DUMMYFUNCTION("""COMPUTED_VALUE"""),"rokās ")</f>
        <v xml:space="preserve">rokās </v>
      </c>
      <c r="X72" s="13" t="b">
        <f t="shared" ca="1" si="6"/>
        <v>0</v>
      </c>
      <c r="Y72" s="7" t="b">
        <v>1</v>
      </c>
      <c r="Z72" s="8" t="str">
        <f ca="1">IFERROR(__xludf.DUMMYFUNCTION("""COMPUTED_VALUE"""),"hercogiste")</f>
        <v>hercogiste</v>
      </c>
      <c r="AA72" s="13" t="b">
        <f t="shared" ca="1" si="7"/>
        <v>0</v>
      </c>
      <c r="AC72" s="8" t="str">
        <f ca="1">IFERROR(__xludf.DUMMYFUNCTION("""COMPUTED_VALUE"""),"ziloni")</f>
        <v>ziloni</v>
      </c>
      <c r="AD72" s="13" t="b">
        <f t="shared" ca="1" si="8"/>
        <v>0</v>
      </c>
      <c r="AF72" s="8" t="str">
        <f ca="1">IFERROR(__xludf.DUMMYFUNCTION("""COMPUTED_VALUE"""),"zvans")</f>
        <v>zvans</v>
      </c>
      <c r="AG72" s="13" t="b">
        <f t="shared" ca="1" si="9"/>
        <v>0</v>
      </c>
      <c r="AI72" s="8" t="str">
        <f ca="1">IFERROR(__xludf.DUMMYFUNCTION("""COMPUTED_VALUE"""),"dibināta ")</f>
        <v xml:space="preserve">dibināta </v>
      </c>
      <c r="AJ72" s="13" t="b">
        <f t="shared" ca="1" si="10"/>
        <v>0</v>
      </c>
      <c r="AK72" s="7" t="b">
        <v>1</v>
      </c>
      <c r="AL72" s="8" t="str">
        <f ca="1">IFERROR(__xludf.DUMMYFUNCTION("""COMPUTED_VALUE"""),"ātrums ")</f>
        <v xml:space="preserve">ātrums </v>
      </c>
      <c r="AM72" s="13" t="b">
        <f t="shared" ca="1" si="11"/>
        <v>0</v>
      </c>
      <c r="AO72" s="8" t="b">
        <f ca="1">COUNTIF(Rezultāti!C:C,G72)&gt;0</f>
        <v>0</v>
      </c>
    </row>
    <row r="73" spans="2:41" x14ac:dyDescent="0.25">
      <c r="B73" s="8" t="str">
        <f ca="1">IF(C73="","",IF(COUNTIF(Rezultāti!C:C,C73)=0,"Labot",""))</f>
        <v/>
      </c>
      <c r="C73" s="8" t="str">
        <f t="shared" ref="C73:C77" ca="1" si="15">IF(COUNTIF(C74:C270,G73)=0,G73,"")</f>
        <v>PVN</v>
      </c>
      <c r="D73" s="8">
        <f t="shared" ca="1" si="1"/>
        <v>6</v>
      </c>
      <c r="E73" s="12">
        <f ca="1">IFERROR(__xludf.DUMMYFUNCTION("""COMPUTED_VALUE"""),45603.5369497106)</f>
        <v>45603.5369497106</v>
      </c>
      <c r="F73" s="8" t="str">
        <f ca="1">IFERROR(__xludf.DUMMYFUNCTION("""COMPUTED_VALUE"""),"Rīgas 45 vidusskola")</f>
        <v>Rīgas 45 vidusskola</v>
      </c>
      <c r="G73" s="8" t="str">
        <f ca="1">IFERROR(__xludf.DUMMYFUNCTION("""COMPUTED_VALUE"""),"PVN")</f>
        <v>PVN</v>
      </c>
      <c r="H73" s="8" t="str">
        <f ca="1">IFERROR(__xludf.DUMMYFUNCTION("""COMPUTED_VALUE"""),"Emīlija Tīna Ozola ")</f>
        <v xml:space="preserve">Emīlija Tīna Ozola </v>
      </c>
      <c r="I73" s="8" t="str">
        <f ca="1">IFERROR(__xludf.DUMMYFUNCTION("""COMPUTED_VALUE"""),"Kristiāns Kalniņš ")</f>
        <v xml:space="preserve">Kristiāns Kalniņš </v>
      </c>
      <c r="J73" s="8" t="str">
        <f ca="1">IFERROR(__xludf.DUMMYFUNCTION("""COMPUTED_VALUE"""),"Anna Kristiāna Granta ")</f>
        <v xml:space="preserve">Anna Kristiāna Granta </v>
      </c>
      <c r="K73" s="8" t="str">
        <f ca="1">IFERROR(__xludf.DUMMYFUNCTION("""COMPUTED_VALUE"""),"VEF kultūras pils")</f>
        <v>VEF kultūras pils</v>
      </c>
      <c r="L73" s="13" t="b">
        <f t="shared" ca="1" si="2"/>
        <v>0</v>
      </c>
      <c r="N73" s="8" t="str">
        <f ca="1">IFERROR(__xludf.DUMMYFUNCTION("""COMPUTED_VALUE"""),"Zaiga")</f>
        <v>Zaiga</v>
      </c>
      <c r="O73" s="13" t="b">
        <f t="shared" ca="1" si="3"/>
        <v>1</v>
      </c>
      <c r="Q73" s="8"/>
      <c r="R73" s="13" t="b">
        <f t="shared" si="4"/>
        <v>0</v>
      </c>
      <c r="T73" s="8"/>
      <c r="U73" s="13" t="b">
        <f t="shared" si="5"/>
        <v>0</v>
      </c>
      <c r="W73" s="8" t="str">
        <f ca="1">IFERROR(__xludf.DUMMYFUNCTION("""COMPUTED_VALUE"""),"Rokās")</f>
        <v>Rokās</v>
      </c>
      <c r="X73" s="13" t="b">
        <f t="shared" ca="1" si="6"/>
        <v>1</v>
      </c>
      <c r="Z73" s="8"/>
      <c r="AA73" s="13" t="b">
        <f t="shared" si="7"/>
        <v>0</v>
      </c>
      <c r="AC73" s="8" t="str">
        <f ca="1">IFERROR(__xludf.DUMMYFUNCTION("""COMPUTED_VALUE"""),"Salate")</f>
        <v>Salate</v>
      </c>
      <c r="AD73" s="13" t="b">
        <f t="shared" ca="1" si="8"/>
        <v>1</v>
      </c>
      <c r="AF73" s="8" t="str">
        <f ca="1">IFERROR(__xludf.DUMMYFUNCTION("""COMPUTED_VALUE"""),"Miers")</f>
        <v>Miers</v>
      </c>
      <c r="AG73" s="13" t="b">
        <f t="shared" ca="1" si="9"/>
        <v>1</v>
      </c>
      <c r="AI73" s="8" t="str">
        <f ca="1">IFERROR(__xludf.DUMMYFUNCTION("""COMPUTED_VALUE"""),"Dibināja")</f>
        <v>Dibināja</v>
      </c>
      <c r="AJ73" s="13" t="b">
        <f t="shared" ca="1" si="10"/>
        <v>0</v>
      </c>
      <c r="AK73" s="7" t="b">
        <v>1</v>
      </c>
      <c r="AL73" s="8" t="str">
        <f ca="1">IFERROR(__xludf.DUMMYFUNCTION("""COMPUTED_VALUE"""),"Nodaba")</f>
        <v>Nodaba</v>
      </c>
      <c r="AM73" s="13" t="b">
        <f t="shared" ca="1" si="11"/>
        <v>1</v>
      </c>
      <c r="AO73" s="8" t="b">
        <f ca="1">COUNTIF(Rezultāti!C:C,G73)&gt;0</f>
        <v>1</v>
      </c>
    </row>
    <row r="74" spans="2:41" x14ac:dyDescent="0.25">
      <c r="B74" s="8" t="str">
        <f ca="1">IF(C74="","",IF(COUNTIF(Rezultāti!C:C,C74)=0,"Labot",""))</f>
        <v/>
      </c>
      <c r="C74" s="8" t="str">
        <f t="shared" ca="1" si="15"/>
        <v>Labs jautājums</v>
      </c>
      <c r="D74" s="8">
        <f t="shared" ca="1" si="1"/>
        <v>3</v>
      </c>
      <c r="E74" s="12">
        <f ca="1">IFERROR(__xludf.DUMMYFUNCTION("""COMPUTED_VALUE"""),45603.537045081)</f>
        <v>45603.537045081001</v>
      </c>
      <c r="F74" s="8" t="str">
        <f ca="1">IFERROR(__xludf.DUMMYFUNCTION("""COMPUTED_VALUE"""),"Rīgas 25. Vidusskola")</f>
        <v>Rīgas 25. Vidusskola</v>
      </c>
      <c r="G74" s="8" t="str">
        <f ca="1">IFERROR(__xludf.DUMMYFUNCTION("""COMPUTED_VALUE"""),"Labs jautājums")</f>
        <v>Labs jautājums</v>
      </c>
      <c r="H74" s="8" t="str">
        <f ca="1">IFERROR(__xludf.DUMMYFUNCTION("""COMPUTED_VALUE"""),"Ričards Stašuļonoks")</f>
        <v>Ričards Stašuļonoks</v>
      </c>
      <c r="I74" s="8" t="str">
        <f ca="1">IFERROR(__xludf.DUMMYFUNCTION("""COMPUTED_VALUE"""),"Alekss Ļipstovs ")</f>
        <v xml:space="preserve">Alekss Ļipstovs </v>
      </c>
      <c r="J74" s="8" t="str">
        <f ca="1">IFERROR(__xludf.DUMMYFUNCTION("""COMPUTED_VALUE"""),"Elmārs Samcovs")</f>
        <v>Elmārs Samcovs</v>
      </c>
      <c r="K74" s="8" t="str">
        <f ca="1">IFERROR(__xludf.DUMMYFUNCTION("""COMPUTED_VALUE"""),"Rīgas Dome")</f>
        <v>Rīgas Dome</v>
      </c>
      <c r="L74" s="13" t="b">
        <f t="shared" ca="1" si="2"/>
        <v>0</v>
      </c>
      <c r="N74" s="8" t="str">
        <f ca="1">IFERROR(__xludf.DUMMYFUNCTION("""COMPUTED_VALUE"""),"Zaiga")</f>
        <v>Zaiga</v>
      </c>
      <c r="O74" s="13" t="b">
        <f t="shared" ca="1" si="3"/>
        <v>1</v>
      </c>
      <c r="Q74" s="8" t="str">
        <f ca="1">IFERROR(__xludf.DUMMYFUNCTION("""COMPUTED_VALUE"""),"Brīvība")</f>
        <v>Brīvība</v>
      </c>
      <c r="R74" s="13" t="b">
        <f t="shared" ca="1" si="4"/>
        <v>0</v>
      </c>
      <c r="T74" s="8" t="str">
        <f ca="1">IFERROR(__xludf.DUMMYFUNCTION("""COMPUTED_VALUE"""),"Zirkša")</f>
        <v>Zirkša</v>
      </c>
      <c r="U74" s="13" t="b">
        <f t="shared" ca="1" si="5"/>
        <v>0</v>
      </c>
      <c r="W74" s="8" t="str">
        <f ca="1">IFERROR(__xludf.DUMMYFUNCTION("""COMPUTED_VALUE"""),"Skatīt šo piemēru")</f>
        <v>Skatīt šo piemēru</v>
      </c>
      <c r="X74" s="13" t="b">
        <f t="shared" ca="1" si="6"/>
        <v>0</v>
      </c>
      <c r="Z74" s="8" t="str">
        <f ca="1">IFERROR(__xludf.DUMMYFUNCTION("""COMPUTED_VALUE"""),"Dzeltenais")</f>
        <v>Dzeltenais</v>
      </c>
      <c r="AA74" s="13" t="b">
        <f t="shared" ca="1" si="7"/>
        <v>0</v>
      </c>
      <c r="AC74" s="8" t="str">
        <f ca="1">IFERROR(__xludf.DUMMYFUNCTION("""COMPUTED_VALUE"""),"-")</f>
        <v>-</v>
      </c>
      <c r="AD74" s="13" t="b">
        <f t="shared" ca="1" si="8"/>
        <v>0</v>
      </c>
      <c r="AF74" s="8" t="str">
        <f ca="1">IFERROR(__xludf.DUMMYFUNCTION("""COMPUTED_VALUE"""),"Kļūme")</f>
        <v>Kļūme</v>
      </c>
      <c r="AG74" s="13" t="b">
        <f t="shared" ca="1" si="9"/>
        <v>0</v>
      </c>
      <c r="AI74" s="8" t="str">
        <f ca="1">IFERROR(__xludf.DUMMYFUNCTION("""COMPUTED_VALUE"""),"Dibināta")</f>
        <v>Dibināta</v>
      </c>
      <c r="AJ74" s="13" t="b">
        <f t="shared" ca="1" si="10"/>
        <v>1</v>
      </c>
      <c r="AK74" s="7" t="b">
        <v>1</v>
      </c>
      <c r="AL74" s="8" t="str">
        <f ca="1">IFERROR(__xludf.DUMMYFUNCTION("""COMPUTED_VALUE"""),"Nodaba")</f>
        <v>Nodaba</v>
      </c>
      <c r="AM74" s="13" t="b">
        <f t="shared" ca="1" si="11"/>
        <v>1</v>
      </c>
      <c r="AO74" s="8" t="b">
        <f ca="1">COUNTIF(Rezultāti!C:C,G74)&gt;0</f>
        <v>1</v>
      </c>
    </row>
    <row r="75" spans="2:41" x14ac:dyDescent="0.25">
      <c r="B75" s="8" t="str">
        <f ca="1">IF(C75="","",IF(COUNTIF(Rezultāti!C:C,C75)=0,"Labot",""))</f>
        <v/>
      </c>
      <c r="C75" s="8" t="str">
        <f t="shared" ca="1" si="15"/>
        <v>VECTOR</v>
      </c>
      <c r="D75" s="8">
        <f t="shared" ca="1" si="1"/>
        <v>2</v>
      </c>
      <c r="E75" s="12">
        <f ca="1">IFERROR(__xludf.DUMMYFUNCTION("""COMPUTED_VALUE"""),45603.5371596643)</f>
        <v>45603.537159664302</v>
      </c>
      <c r="F75" s="8" t="str">
        <f ca="1">IFERROR(__xludf.DUMMYFUNCTION("""COMPUTED_VALUE"""),"Rīgas valsts klasiskā ģimnāzija")</f>
        <v>Rīgas valsts klasiskā ģimnāzija</v>
      </c>
      <c r="G75" s="8" t="str">
        <f ca="1">IFERROR(__xludf.DUMMYFUNCTION("""COMPUTED_VALUE"""),"VECTOR")</f>
        <v>VECTOR</v>
      </c>
      <c r="H75" s="8" t="str">
        <f ca="1">IFERROR(__xludf.DUMMYFUNCTION("""COMPUTED_VALUE"""),"Deniss Pantelejevs")</f>
        <v>Deniss Pantelejevs</v>
      </c>
      <c r="I75" s="8" t="str">
        <f ca="1">IFERROR(__xludf.DUMMYFUNCTION("""COMPUTED_VALUE"""),"Artūrs Kurme")</f>
        <v>Artūrs Kurme</v>
      </c>
      <c r="J75" s="8" t="str">
        <f ca="1">IFERROR(__xludf.DUMMYFUNCTION("""COMPUTED_VALUE"""),"Irina Ternovaja")</f>
        <v>Irina Ternovaja</v>
      </c>
      <c r="K75" s="8" t="str">
        <f ca="1">IFERROR(__xludf.DUMMYFUNCTION("""COMPUTED_VALUE"""),"Brīvības piemineklis")</f>
        <v>Brīvības piemineklis</v>
      </c>
      <c r="L75" s="13" t="b">
        <f t="shared" ca="1" si="2"/>
        <v>0</v>
      </c>
      <c r="N75" s="8" t="str">
        <f ca="1">IFERROR(__xludf.DUMMYFUNCTION("""COMPUTED_VALUE"""),"Vilma")</f>
        <v>Vilma</v>
      </c>
      <c r="O75" s="13" t="b">
        <f t="shared" ca="1" si="3"/>
        <v>0</v>
      </c>
      <c r="Q75" s="8" t="str">
        <f ca="1">IFERROR(__xludf.DUMMYFUNCTION("""COMPUTED_VALUE"""),"Teātris")</f>
        <v>Teātris</v>
      </c>
      <c r="R75" s="13" t="b">
        <f t="shared" ca="1" si="4"/>
        <v>0</v>
      </c>
      <c r="T75" s="8" t="str">
        <f ca="1">IFERROR(__xludf.DUMMYFUNCTION("""COMPUTED_VALUE"""),"Gaisma")</f>
        <v>Gaisma</v>
      </c>
      <c r="U75" s="13" t="b">
        <f t="shared" ca="1" si="5"/>
        <v>0</v>
      </c>
      <c r="W75" s="8" t="str">
        <f ca="1">IFERROR(__xludf.DUMMYFUNCTION("""COMPUTED_VALUE"""),"Rokās")</f>
        <v>Rokās</v>
      </c>
      <c r="X75" s="13" t="b">
        <f t="shared" ca="1" si="6"/>
        <v>1</v>
      </c>
      <c r="Z75" s="8" t="str">
        <f ca="1">IFERROR(__xludf.DUMMYFUNCTION("""COMPUTED_VALUE"""),"Saulkrasti")</f>
        <v>Saulkrasti</v>
      </c>
      <c r="AA75" s="13" t="b">
        <f t="shared" ca="1" si="7"/>
        <v>0</v>
      </c>
      <c r="AC75" s="8" t="str">
        <f ca="1">IFERROR(__xludf.DUMMYFUNCTION("""COMPUTED_VALUE"""),"Apguve")</f>
        <v>Apguve</v>
      </c>
      <c r="AD75" s="13" t="b">
        <f t="shared" ca="1" si="8"/>
        <v>0</v>
      </c>
      <c r="AF75" s="8" t="str">
        <f ca="1">IFERROR(__xludf.DUMMYFUNCTION("""COMPUTED_VALUE"""),"Zagts")</f>
        <v>Zagts</v>
      </c>
      <c r="AG75" s="13" t="b">
        <f t="shared" ca="1" si="9"/>
        <v>0</v>
      </c>
      <c r="AI75" s="8" t="str">
        <f ca="1">IFERROR(__xludf.DUMMYFUNCTION("""COMPUTED_VALUE"""),"Dievnams")</f>
        <v>Dievnams</v>
      </c>
      <c r="AJ75" s="13" t="b">
        <f t="shared" ca="1" si="10"/>
        <v>0</v>
      </c>
      <c r="AL75" s="8" t="str">
        <f ca="1">IFERROR(__xludf.DUMMYFUNCTION("""COMPUTED_VALUE"""),"Nodaba")</f>
        <v>Nodaba</v>
      </c>
      <c r="AM75" s="13" t="b">
        <f t="shared" ca="1" si="11"/>
        <v>1</v>
      </c>
      <c r="AO75" s="8" t="b">
        <f ca="1">COUNTIF(Rezultāti!C:C,G75)&gt;0</f>
        <v>1</v>
      </c>
    </row>
    <row r="76" spans="2:41" x14ac:dyDescent="0.25">
      <c r="B76" s="8" t="str">
        <f ca="1">IF(C76="","",IF(COUNTIF(Rezultāti!C:C,C76)=0,"Labot",""))</f>
        <v/>
      </c>
      <c r="C76" s="8" t="str">
        <f t="shared" ca="1" si="15"/>
        <v>Ostvalds 12</v>
      </c>
      <c r="D76" s="8">
        <f t="shared" ca="1" si="1"/>
        <v>2</v>
      </c>
      <c r="E76" s="12">
        <f ca="1">IFERROR(__xludf.DUMMYFUNCTION("""COMPUTED_VALUE"""),45603.5372008449)</f>
        <v>45603.537200844898</v>
      </c>
      <c r="F76" s="8" t="str">
        <f ca="1">IFERROR(__xludf.DUMMYFUNCTION("""COMPUTED_VALUE"""),"Rīgas Ostvalda vsk")</f>
        <v>Rīgas Ostvalda vsk</v>
      </c>
      <c r="G76" s="8" t="str">
        <f ca="1">IFERROR(__xludf.DUMMYFUNCTION("""COMPUTED_VALUE"""),"Ostvalds 12")</f>
        <v>Ostvalds 12</v>
      </c>
      <c r="H76" s="8" t="str">
        <f ca="1">IFERROR(__xludf.DUMMYFUNCTION("""COMPUTED_VALUE"""),"Liāna Linnase")</f>
        <v>Liāna Linnase</v>
      </c>
      <c r="I76" s="8" t="str">
        <f ca="1">IFERROR(__xludf.DUMMYFUNCTION("""COMPUTED_VALUE"""),"Timurs Maksjuks")</f>
        <v>Timurs Maksjuks</v>
      </c>
      <c r="J76" s="8" t="str">
        <f ca="1">IFERROR(__xludf.DUMMYFUNCTION("""COMPUTED_VALUE"""),"Roberts Marģevičs")</f>
        <v>Roberts Marģevičs</v>
      </c>
      <c r="K76" s="8" t="str">
        <f ca="1">IFERROR(__xludf.DUMMYFUNCTION("""COMPUTED_VALUE"""),"Melngalvju nams")</f>
        <v>Melngalvju nams</v>
      </c>
      <c r="L76" s="13" t="b">
        <f t="shared" ca="1" si="2"/>
        <v>0</v>
      </c>
      <c r="N76" s="8" t="str">
        <f ca="1">IFERROR(__xludf.DUMMYFUNCTION("""COMPUTED_VALUE"""),"Zaiga")</f>
        <v>Zaiga</v>
      </c>
      <c r="O76" s="13" t="b">
        <f t="shared" ca="1" si="3"/>
        <v>1</v>
      </c>
      <c r="Q76" s="8" t="str">
        <f ca="1">IFERROR(__xludf.DUMMYFUNCTION("""COMPUTED_VALUE"""),"Zatlers")</f>
        <v>Zatlers</v>
      </c>
      <c r="R76" s="13" t="b">
        <f t="shared" ca="1" si="4"/>
        <v>0</v>
      </c>
      <c r="T76" s="8" t="str">
        <f ca="1">IFERROR(__xludf.DUMMYFUNCTION("""COMPUTED_VALUE"""),"Tetris")</f>
        <v>Tetris</v>
      </c>
      <c r="U76" s="13" t="b">
        <f t="shared" ca="1" si="5"/>
        <v>0</v>
      </c>
      <c r="W76" s="8" t="str">
        <f ca="1">IFERROR(__xludf.DUMMYFUNCTION("""COMPUTED_VALUE"""),"Sveiciens bankas klientam no Luminor")</f>
        <v>Sveiciens bankas klientam no Luminor</v>
      </c>
      <c r="X76" s="13" t="b">
        <f t="shared" ca="1" si="6"/>
        <v>0</v>
      </c>
      <c r="Z76" s="8" t="str">
        <f ca="1">IFERROR(__xludf.DUMMYFUNCTION("""COMPUTED_VALUE"""),"Daugavpils")</f>
        <v>Daugavpils</v>
      </c>
      <c r="AA76" s="13" t="b">
        <f t="shared" ca="1" si="7"/>
        <v>0</v>
      </c>
      <c r="AC76" s="8" t="str">
        <f ca="1">IFERROR(__xludf.DUMMYFUNCTION("""COMPUTED_VALUE"""),"Slieka")</f>
        <v>Slieka</v>
      </c>
      <c r="AD76" s="13" t="b">
        <f t="shared" ca="1" si="8"/>
        <v>0</v>
      </c>
      <c r="AF76" s="8" t="str">
        <f ca="1">IFERROR(__xludf.DUMMYFUNCTION("""COMPUTED_VALUE"""),"Rombs")</f>
        <v>Rombs</v>
      </c>
      <c r="AG76" s="13" t="b">
        <f t="shared" ca="1" si="9"/>
        <v>0</v>
      </c>
      <c r="AI76" s="8" t="str">
        <f ca="1">IFERROR(__xludf.DUMMYFUNCTION("""COMPUTED_VALUE"""),"Progress")</f>
        <v>Progress</v>
      </c>
      <c r="AJ76" s="13" t="b">
        <f t="shared" ca="1" si="10"/>
        <v>0</v>
      </c>
      <c r="AL76" s="8" t="str">
        <f ca="1">IFERROR(__xludf.DUMMYFUNCTION("""COMPUTED_VALUE"""),"Nodaba")</f>
        <v>Nodaba</v>
      </c>
      <c r="AM76" s="13" t="b">
        <f t="shared" ca="1" si="11"/>
        <v>1</v>
      </c>
      <c r="AO76" s="8" t="b">
        <f ca="1">COUNTIF(Rezultāti!C:C,G76)&gt;0</f>
        <v>1</v>
      </c>
    </row>
    <row r="77" spans="2:41" x14ac:dyDescent="0.25">
      <c r="B77" s="8" t="str">
        <f ca="1">IF(C77="","",IF(COUNTIF(Rezultāti!C:C,C77)=0,"Labot",""))</f>
        <v/>
      </c>
      <c r="C77" s="8" t="str">
        <f t="shared" ca="1" si="15"/>
        <v>Bārijs un Broms</v>
      </c>
      <c r="D77" s="8">
        <f t="shared" ca="1" si="1"/>
        <v>3</v>
      </c>
      <c r="E77" s="12">
        <f ca="1">IFERROR(__xludf.DUMMYFUNCTION("""COMPUTED_VALUE"""),45603.5373123726)</f>
        <v>45603.537312372602</v>
      </c>
      <c r="F77" s="8" t="str">
        <f ca="1">IFERROR(__xludf.DUMMYFUNCTION("""COMPUTED_VALUE"""),"Dārciema vidusskola")</f>
        <v>Dārciema vidusskola</v>
      </c>
      <c r="G77" s="8" t="str">
        <f ca="1">IFERROR(__xludf.DUMMYFUNCTION("""COMPUTED_VALUE"""),"Bārijs un Broms")</f>
        <v>Bārijs un Broms</v>
      </c>
      <c r="H77" s="8" t="str">
        <f ca="1">IFERROR(__xludf.DUMMYFUNCTION("""COMPUTED_VALUE"""),"Arvils Apsītis")</f>
        <v>Arvils Apsītis</v>
      </c>
      <c r="I77" s="8" t="str">
        <f ca="1">IFERROR(__xludf.DUMMYFUNCTION("""COMPUTED_VALUE"""),"Aigars Rikmanis")</f>
        <v>Aigars Rikmanis</v>
      </c>
      <c r="J77" s="8" t="str">
        <f ca="1">IFERROR(__xludf.DUMMYFUNCTION("""COMPUTED_VALUE"""),"nav")</f>
        <v>nav</v>
      </c>
      <c r="K77" s="8"/>
      <c r="L77" s="13" t="b">
        <f t="shared" si="2"/>
        <v>0</v>
      </c>
      <c r="N77" s="8" t="str">
        <f ca="1">IFERROR(__xludf.DUMMYFUNCTION("""COMPUTED_VALUE"""),"Zaiga")</f>
        <v>Zaiga</v>
      </c>
      <c r="O77" s="13" t="b">
        <f t="shared" ca="1" si="3"/>
        <v>1</v>
      </c>
      <c r="Q77" s="8"/>
      <c r="R77" s="13" t="b">
        <f t="shared" si="4"/>
        <v>0</v>
      </c>
      <c r="T77" s="8"/>
      <c r="U77" s="13" t="b">
        <f t="shared" si="5"/>
        <v>0</v>
      </c>
      <c r="W77" s="8" t="str">
        <f ca="1">IFERROR(__xludf.DUMMYFUNCTION("""COMPUTED_VALUE"""),"rokās")</f>
        <v>rokās</v>
      </c>
      <c r="X77" s="13" t="b">
        <f t="shared" ca="1" si="6"/>
        <v>1</v>
      </c>
      <c r="Z77" s="8" t="str">
        <f ca="1">IFERROR(__xludf.DUMMYFUNCTION("""COMPUTED_VALUE"""),"Varavīksne")</f>
        <v>Varavīksne</v>
      </c>
      <c r="AA77" s="13" t="b">
        <f t="shared" ca="1" si="7"/>
        <v>0</v>
      </c>
      <c r="AC77" s="8"/>
      <c r="AD77" s="13" t="b">
        <f t="shared" si="8"/>
        <v>0</v>
      </c>
      <c r="AF77" s="8"/>
      <c r="AG77" s="13" t="b">
        <f t="shared" si="9"/>
        <v>0</v>
      </c>
      <c r="AI77" s="8"/>
      <c r="AJ77" s="13" t="b">
        <f t="shared" si="10"/>
        <v>0</v>
      </c>
      <c r="AL77" s="8" t="str">
        <f ca="1">IFERROR(__xludf.DUMMYFUNCTION("""COMPUTED_VALUE"""),"Nodaba")</f>
        <v>Nodaba</v>
      </c>
      <c r="AM77" s="13" t="b">
        <f t="shared" ca="1" si="11"/>
        <v>1</v>
      </c>
      <c r="AO77" s="8" t="b">
        <f ca="1">COUNTIF(Rezultāti!C:C,G77)&gt;0</f>
        <v>1</v>
      </c>
    </row>
    <row r="78" spans="2:41" x14ac:dyDescent="0.25">
      <c r="B78" s="8" t="str">
        <f>IF(C78="","",IF(COUNTIF(Rezultāti!C:C,C78)=0,"Labot",""))</f>
        <v/>
      </c>
      <c r="C78" s="14" t="s">
        <v>61</v>
      </c>
      <c r="D78" s="8">
        <f t="shared" ca="1" si="1"/>
        <v>4</v>
      </c>
      <c r="E78" s="12">
        <f ca="1">IFERROR(__xludf.DUMMYFUNCTION("""COMPUTED_VALUE"""),45603.5375357754)</f>
        <v>45603.537535775402</v>
      </c>
      <c r="F78" s="8" t="str">
        <f ca="1">IFERROR(__xludf.DUMMYFUNCTION("""COMPUTED_VALUE"""),"Rīgas Arkādijas vidusskola")</f>
        <v>Rīgas Arkādijas vidusskola</v>
      </c>
      <c r="G78" s="8" t="str">
        <f ca="1">IFERROR(__xludf.DUMMYFUNCTION("""COMPUTED_VALUE"""),"“Arkādijas prāti”")</f>
        <v>“Arkādijas prāti”</v>
      </c>
      <c r="H78" s="8" t="str">
        <f ca="1">IFERROR(__xludf.DUMMYFUNCTION("""COMPUTED_VALUE"""),"Aleksandra Isajeva")</f>
        <v>Aleksandra Isajeva</v>
      </c>
      <c r="I78" s="8" t="str">
        <f ca="1">IFERROR(__xludf.DUMMYFUNCTION("""COMPUTED_VALUE"""),"Albīna Kuzņecova")</f>
        <v>Albīna Kuzņecova</v>
      </c>
      <c r="J78" s="8" t="str">
        <f ca="1">IFERROR(__xludf.DUMMYFUNCTION("""COMPUTED_VALUE"""),"Kira Balaša")</f>
        <v>Kira Balaša</v>
      </c>
      <c r="K78" s="8" t="str">
        <f ca="1">IFERROR(__xludf.DUMMYFUNCTION("""COMPUTED_VALUE"""),"SAAS")</f>
        <v>SAAS</v>
      </c>
      <c r="L78" s="13" t="b">
        <f t="shared" ca="1" si="2"/>
        <v>0</v>
      </c>
      <c r="N78" s="8" t="str">
        <f ca="1">IFERROR(__xludf.DUMMYFUNCTION("""COMPUTED_VALUE"""),"Zaiga")</f>
        <v>Zaiga</v>
      </c>
      <c r="O78" s="13" t="b">
        <f t="shared" ca="1" si="3"/>
        <v>1</v>
      </c>
      <c r="Q78" s="8" t="str">
        <f ca="1">IFERROR(__xludf.DUMMYFUNCTION("""COMPUTED_VALUE"""),"Alberts")</f>
        <v>Alberts</v>
      </c>
      <c r="R78" s="13" t="b">
        <f t="shared" ca="1" si="4"/>
        <v>0</v>
      </c>
      <c r="T78" s="8" t="str">
        <f ca="1">IFERROR(__xludf.DUMMYFUNCTION("""COMPUTED_VALUE"""),"Utopia")</f>
        <v>Utopia</v>
      </c>
      <c r="U78" s="13" t="b">
        <f t="shared" ca="1" si="5"/>
        <v>0</v>
      </c>
      <c r="W78" s="8" t="str">
        <f ca="1">IFERROR(__xludf.DUMMYFUNCTION("""COMPUTED_VALUE"""),"Kredīta likme")</f>
        <v>Kredīta likme</v>
      </c>
      <c r="X78" s="13" t="b">
        <f t="shared" ca="1" si="6"/>
        <v>0</v>
      </c>
      <c r="Z78" s="8" t="str">
        <f ca="1">IFERROR(__xludf.DUMMYFUNCTION("""COMPUTED_VALUE"""),"Aizkraukle")</f>
        <v>Aizkraukle</v>
      </c>
      <c r="AA78" s="13" t="b">
        <f t="shared" ca="1" si="7"/>
        <v>0</v>
      </c>
      <c r="AC78" s="8" t="str">
        <f ca="1">IFERROR(__xludf.DUMMYFUNCTION("""COMPUTED_VALUE"""),"Salate")</f>
        <v>Salate</v>
      </c>
      <c r="AD78" s="13" t="b">
        <f t="shared" ca="1" si="8"/>
        <v>1</v>
      </c>
      <c r="AF78" s="8" t="str">
        <f ca="1">IFERROR(__xludf.DUMMYFUNCTION("""COMPUTED_VALUE"""),"Morze")</f>
        <v>Morze</v>
      </c>
      <c r="AG78" s="13" t="b">
        <f t="shared" ca="1" si="9"/>
        <v>0</v>
      </c>
      <c r="AI78" s="8" t="str">
        <f ca="1">IFERROR(__xludf.DUMMYFUNCTION("""COMPUTED_VALUE"""),"Dibināta")</f>
        <v>Dibināta</v>
      </c>
      <c r="AJ78" s="13" t="b">
        <f t="shared" ca="1" si="10"/>
        <v>1</v>
      </c>
      <c r="AL78" s="8" t="str">
        <f ca="1">IFERROR(__xludf.DUMMYFUNCTION("""COMPUTED_VALUE"""),"Nodaba")</f>
        <v>Nodaba</v>
      </c>
      <c r="AM78" s="13" t="b">
        <f t="shared" ca="1" si="11"/>
        <v>1</v>
      </c>
      <c r="AO78" s="8" t="b">
        <f ca="1">COUNTIF(Rezultāti!C:C,G78)&gt;0</f>
        <v>0</v>
      </c>
    </row>
    <row r="79" spans="2:41" x14ac:dyDescent="0.25">
      <c r="B79" s="8" t="str">
        <f>IF(C79="","",IF(COUNTIF(Rezultāti!C:C,C79)=0,"Labot",""))</f>
        <v/>
      </c>
      <c r="C79" s="2" t="s">
        <v>112</v>
      </c>
      <c r="D79" s="8">
        <f t="shared" ca="1" si="1"/>
        <v>2</v>
      </c>
      <c r="E79" s="12">
        <f ca="1">IFERROR(__xludf.DUMMYFUNCTION("""COMPUTED_VALUE"""),45603.537724456)</f>
        <v>45603.537724456</v>
      </c>
      <c r="F79" s="8" t="str">
        <f ca="1">IFERROR(__xludf.DUMMYFUNCTION("""COMPUTED_VALUE"""),"Rīgas 21.vidusskola")</f>
        <v>Rīgas 21.vidusskola</v>
      </c>
      <c r="G79" s="8" t="str">
        <f ca="1">IFERROR(__xludf.DUMMYFUNCTION("""COMPUTED_VALUE"""),"Biba Boba un Buba")</f>
        <v>Biba Boba un Buba</v>
      </c>
      <c r="H79" s="8" t="str">
        <f ca="1">IFERROR(__xludf.DUMMYFUNCTION("""COMPUTED_VALUE"""),"Balašova")</f>
        <v>Balašova</v>
      </c>
      <c r="I79" s="8" t="str">
        <f ca="1">IFERROR(__xludf.DUMMYFUNCTION("""COMPUTED_VALUE"""),"Deinis")</f>
        <v>Deinis</v>
      </c>
      <c r="J79" s="8" t="str">
        <f ca="1">IFERROR(__xludf.DUMMYFUNCTION("""COMPUTED_VALUE"""),"Ļebedevs")</f>
        <v>Ļebedevs</v>
      </c>
      <c r="K79" s="8"/>
      <c r="L79" s="13" t="b">
        <f t="shared" si="2"/>
        <v>0</v>
      </c>
      <c r="N79" s="8" t="str">
        <f ca="1">IFERROR(__xludf.DUMMYFUNCTION("""COMPUTED_VALUE"""),"Zaiga")</f>
        <v>Zaiga</v>
      </c>
      <c r="O79" s="13" t="b">
        <f t="shared" ca="1" si="3"/>
        <v>1</v>
      </c>
      <c r="Q79" s="8" t="str">
        <f ca="1">IFERROR(__xludf.DUMMYFUNCTION("""COMPUTED_VALUE"""),"Brīvībā")</f>
        <v>Brīvībā</v>
      </c>
      <c r="R79" s="13" t="b">
        <f t="shared" ca="1" si="4"/>
        <v>0</v>
      </c>
      <c r="T79" s="8"/>
      <c r="U79" s="13" t="b">
        <f t="shared" si="5"/>
        <v>0</v>
      </c>
      <c r="W79" s="8" t="str">
        <f ca="1">IFERROR(__xludf.DUMMYFUNCTION("""COMPUTED_VALUE"""),"Pensiju Fonds")</f>
        <v>Pensiju Fonds</v>
      </c>
      <c r="X79" s="13" t="b">
        <f t="shared" ca="1" si="6"/>
        <v>0</v>
      </c>
      <c r="Z79" s="8"/>
      <c r="AA79" s="13" t="b">
        <f t="shared" si="7"/>
        <v>0</v>
      </c>
      <c r="AC79" s="8"/>
      <c r="AD79" s="13" t="b">
        <f t="shared" si="8"/>
        <v>0</v>
      </c>
      <c r="AF79" s="8" t="str">
        <f ca="1">IFERROR(__xludf.DUMMYFUNCTION("""COMPUTED_VALUE"""),"Lampa")</f>
        <v>Lampa</v>
      </c>
      <c r="AG79" s="13" t="b">
        <f t="shared" ca="1" si="9"/>
        <v>0</v>
      </c>
      <c r="AI79" s="8"/>
      <c r="AJ79" s="13" t="b">
        <f t="shared" si="10"/>
        <v>0</v>
      </c>
      <c r="AL79" s="8" t="str">
        <f ca="1">IFERROR(__xludf.DUMMYFUNCTION("""COMPUTED_VALUE"""),"Nodaba")</f>
        <v>Nodaba</v>
      </c>
      <c r="AM79" s="13" t="b">
        <f t="shared" ca="1" si="11"/>
        <v>1</v>
      </c>
      <c r="AO79" s="8" t="b">
        <f ca="1">COUNTIF(Rezultāti!C:C,G79)&gt;0</f>
        <v>0</v>
      </c>
    </row>
    <row r="80" spans="2:41" x14ac:dyDescent="0.25">
      <c r="B80" s="8" t="str">
        <f>IF(C80="","",IF(COUNTIF(Rezultāti!C:C,C80)=0,"Labot",""))</f>
        <v/>
      </c>
      <c r="C80" s="2" t="s">
        <v>72</v>
      </c>
      <c r="D80" s="8">
        <f t="shared" ca="1" si="1"/>
        <v>4</v>
      </c>
      <c r="E80" s="12">
        <f ca="1">IFERROR(__xludf.DUMMYFUNCTION("""COMPUTED_VALUE"""),45603.5380437037)</f>
        <v>45603.538043703702</v>
      </c>
      <c r="F80" s="8" t="str">
        <f ca="1">IFERROR(__xludf.DUMMYFUNCTION("""COMPUTED_VALUE"""),"Rīgas 33. vidusskola")</f>
        <v>Rīgas 33. vidusskola</v>
      </c>
      <c r="G80" s="8" t="str">
        <f ca="1">IFERROR(__xludf.DUMMYFUNCTION("""COMPUTED_VALUE"""),"Čebupeļi")</f>
        <v>Čebupeļi</v>
      </c>
      <c r="H80" s="8" t="str">
        <f ca="1">IFERROR(__xludf.DUMMYFUNCTION("""COMPUTED_VALUE"""),"Veronika Averjanova")</f>
        <v>Veronika Averjanova</v>
      </c>
      <c r="I80" s="8" t="str">
        <f ca="1">IFERROR(__xludf.DUMMYFUNCTION("""COMPUTED_VALUE"""),"Arsenijs Mogirčuks")</f>
        <v>Arsenijs Mogirčuks</v>
      </c>
      <c r="J80" s="8" t="str">
        <f ca="1">IFERROR(__xludf.DUMMYFUNCTION("""COMPUTED_VALUE"""),"Arina Mokricka")</f>
        <v>Arina Mokricka</v>
      </c>
      <c r="K80" s="8" t="str">
        <f ca="1">IFERROR(__xludf.DUMMYFUNCTION("""COMPUTED_VALUE"""),"Svētās Katrīnas baznīca")</f>
        <v>Svētās Katrīnas baznīca</v>
      </c>
      <c r="L80" s="13" t="b">
        <f t="shared" ca="1" si="2"/>
        <v>0</v>
      </c>
      <c r="N80" s="8" t="str">
        <f ca="1">IFERROR(__xludf.DUMMYFUNCTION("""COMPUTED_VALUE"""),"Zaiga")</f>
        <v>Zaiga</v>
      </c>
      <c r="O80" s="13" t="b">
        <f t="shared" ca="1" si="3"/>
        <v>1</v>
      </c>
      <c r="Q80" s="8" t="str">
        <f ca="1">IFERROR(__xludf.DUMMYFUNCTION("""COMPUTED_VALUE"""),"brīvība")</f>
        <v>brīvība</v>
      </c>
      <c r="R80" s="13" t="b">
        <f t="shared" ca="1" si="4"/>
        <v>0</v>
      </c>
      <c r="T80" s="8" t="str">
        <f ca="1">IFERROR(__xludf.DUMMYFUNCTION("""COMPUTED_VALUE"""),"loksne")</f>
        <v>loksne</v>
      </c>
      <c r="U80" s="13" t="b">
        <f t="shared" ca="1" si="5"/>
        <v>0</v>
      </c>
      <c r="W80" s="8" t="str">
        <f ca="1">IFERROR(__xludf.DUMMYFUNCTION("""COMPUTED_VALUE"""),"rokās")</f>
        <v>rokās</v>
      </c>
      <c r="X80" s="13" t="b">
        <f t="shared" ca="1" si="6"/>
        <v>1</v>
      </c>
      <c r="Z80" s="8" t="str">
        <f ca="1">IFERROR(__xludf.DUMMYFUNCTION("""COMPUTED_VALUE"""),"Saulkrasti")</f>
        <v>Saulkrasti</v>
      </c>
      <c r="AA80" s="13" t="b">
        <f t="shared" ca="1" si="7"/>
        <v>0</v>
      </c>
      <c r="AC80" s="8" t="str">
        <f ca="1">IFERROR(__xludf.DUMMYFUNCTION("""COMPUTED_VALUE"""),"slatas")</f>
        <v>slatas</v>
      </c>
      <c r="AD80" s="13" t="b">
        <f t="shared" ca="1" si="8"/>
        <v>0</v>
      </c>
      <c r="AF80" s="8" t="str">
        <f ca="1">IFERROR(__xludf.DUMMYFUNCTION("""COMPUTED_VALUE"""),"dosim")</f>
        <v>dosim</v>
      </c>
      <c r="AG80" s="13" t="b">
        <f t="shared" ca="1" si="9"/>
        <v>0</v>
      </c>
      <c r="AI80" s="8" t="str">
        <f ca="1">IFERROR(__xludf.DUMMYFUNCTION("""COMPUTED_VALUE"""),"dibināta")</f>
        <v>dibināta</v>
      </c>
      <c r="AJ80" s="13" t="b">
        <f t="shared" ca="1" si="10"/>
        <v>1</v>
      </c>
      <c r="AL80" s="8" t="str">
        <f ca="1">IFERROR(__xludf.DUMMYFUNCTION("""COMPUTED_VALUE"""),"nodaba")</f>
        <v>nodaba</v>
      </c>
      <c r="AM80" s="13" t="b">
        <f t="shared" ca="1" si="11"/>
        <v>1</v>
      </c>
      <c r="AO80" s="8" t="b">
        <f ca="1">COUNTIF(Rezultāti!C:C,G80)&gt;0</f>
        <v>0</v>
      </c>
    </row>
    <row r="81" spans="2:41" x14ac:dyDescent="0.25">
      <c r="B81" s="8" t="str">
        <f>IF(C81="","",IF(COUNTIF(Rezultāti!C:C,C81)=0,"Labot",""))</f>
        <v/>
      </c>
      <c r="C81" s="2" t="s">
        <v>84</v>
      </c>
      <c r="D81" s="8">
        <f t="shared" ca="1" si="1"/>
        <v>4</v>
      </c>
      <c r="E81" s="12">
        <f ca="1">IFERROR(__xludf.DUMMYFUNCTION("""COMPUTED_VALUE"""),45603.5380747685)</f>
        <v>45603.538074768498</v>
      </c>
      <c r="F81" s="8" t="str">
        <f ca="1">IFERROR(__xludf.DUMMYFUNCTION("""COMPUTED_VALUE"""),"Rīgas Hanzas vidusskola")</f>
        <v>Rīgas Hanzas vidusskola</v>
      </c>
      <c r="G81" s="8" t="str">
        <f ca="1">IFERROR(__xludf.DUMMYFUNCTION("""COMPUTED_VALUE"""),"Marija Karija")</f>
        <v>Marija Karija</v>
      </c>
      <c r="H81" s="8" t="str">
        <f ca="1">IFERROR(__xludf.DUMMYFUNCTION("""COMPUTED_VALUE"""),"Ginta Leveika")</f>
        <v>Ginta Leveika</v>
      </c>
      <c r="I81" s="8" t="str">
        <f ca="1">IFERROR(__xludf.DUMMYFUNCTION("""COMPUTED_VALUE"""),"Marta Sīle")</f>
        <v>Marta Sīle</v>
      </c>
      <c r="J81" s="8" t="str">
        <f ca="1">IFERROR(__xludf.DUMMYFUNCTION("""COMPUTED_VALUE"""),"Bekija Anete Daukšte")</f>
        <v>Bekija Anete Daukšte</v>
      </c>
      <c r="K81" s="8" t="str">
        <f ca="1">IFERROR(__xludf.DUMMYFUNCTION("""COMPUTED_VALUE"""),"Bazilica sagrada familia")</f>
        <v>Bazilica sagrada familia</v>
      </c>
      <c r="L81" s="13" t="b">
        <f t="shared" ca="1" si="2"/>
        <v>0</v>
      </c>
      <c r="N81" s="8" t="str">
        <f ca="1">IFERROR(__xludf.DUMMYFUNCTION("""COMPUTED_VALUE"""),"Zaiga")</f>
        <v>Zaiga</v>
      </c>
      <c r="O81" s="13" t="b">
        <f t="shared" ca="1" si="3"/>
        <v>1</v>
      </c>
      <c r="Q81" s="8" t="str">
        <f ca="1">IFERROR(__xludf.DUMMYFUNCTION("""COMPUTED_VALUE"""),"Brīvība")</f>
        <v>Brīvība</v>
      </c>
      <c r="R81" s="13" t="b">
        <f t="shared" ca="1" si="4"/>
        <v>0</v>
      </c>
      <c r="T81" s="8" t="str">
        <f ca="1">IFERROR(__xludf.DUMMYFUNCTION("""COMPUTED_VALUE"""),"Litijs")</f>
        <v>Litijs</v>
      </c>
      <c r="U81" s="13" t="b">
        <f t="shared" ca="1" si="5"/>
        <v>0</v>
      </c>
      <c r="W81" s="8" t="str">
        <f ca="1">IFERROR(__xludf.DUMMYFUNCTION("""COMPUTED_VALUE"""),"Rokās")</f>
        <v>Rokās</v>
      </c>
      <c r="X81" s="13" t="b">
        <f t="shared" ca="1" si="6"/>
        <v>1</v>
      </c>
      <c r="Z81" s="8" t="str">
        <f ca="1">IFERROR(__xludf.DUMMYFUNCTION("""COMPUTED_VALUE"""),"Salate")</f>
        <v>Salate</v>
      </c>
      <c r="AA81" s="13" t="b">
        <f t="shared" ca="1" si="7"/>
        <v>0</v>
      </c>
      <c r="AC81" s="8" t="str">
        <f ca="1">IFERROR(__xludf.DUMMYFUNCTION("""COMPUTED_VALUE"""),"Salate")</f>
        <v>Salate</v>
      </c>
      <c r="AD81" s="13" t="b">
        <f t="shared" ca="1" si="8"/>
        <v>1</v>
      </c>
      <c r="AF81" s="8" t="str">
        <f ca="1">IFERROR(__xludf.DUMMYFUNCTION("""COMPUTED_VALUE"""),"Pēdas")</f>
        <v>Pēdas</v>
      </c>
      <c r="AG81" s="13" t="b">
        <f t="shared" ca="1" si="9"/>
        <v>0</v>
      </c>
      <c r="AI81" s="8" t="str">
        <f ca="1">IFERROR(__xludf.DUMMYFUNCTION("""COMPUTED_VALUE"""),"Livonija")</f>
        <v>Livonija</v>
      </c>
      <c r="AJ81" s="13" t="b">
        <f t="shared" ca="1" si="10"/>
        <v>0</v>
      </c>
      <c r="AL81" s="8" t="str">
        <f ca="1">IFERROR(__xludf.DUMMYFUNCTION("""COMPUTED_VALUE"""),"Nodaba")</f>
        <v>Nodaba</v>
      </c>
      <c r="AM81" s="13" t="b">
        <f t="shared" ca="1" si="11"/>
        <v>1</v>
      </c>
      <c r="AO81" s="8" t="b">
        <f ca="1">COUNTIF(Rezultāti!C:C,G81)&gt;0</f>
        <v>0</v>
      </c>
    </row>
    <row r="82" spans="2:41" x14ac:dyDescent="0.25">
      <c r="B82" s="8" t="str">
        <f ca="1">IF(C82="","",IF(COUNTIF(Rezultāti!C:C,C82)=0,"Labot",""))</f>
        <v/>
      </c>
      <c r="C82" s="8" t="str">
        <f ca="1">IF(COUNTIF(C83:C279,G82)=0,G82,"")</f>
        <v>Makabi</v>
      </c>
      <c r="D82" s="8">
        <f t="shared" ca="1" si="1"/>
        <v>5</v>
      </c>
      <c r="E82" s="12">
        <f ca="1">IFERROR(__xludf.DUMMYFUNCTION("""COMPUTED_VALUE"""),45603.5380841898)</f>
        <v>45603.5380841898</v>
      </c>
      <c r="F82" s="8" t="str">
        <f ca="1">IFERROR(__xludf.DUMMYFUNCTION("""COMPUTED_VALUE"""),"Š. Dubnova Rīgas ebreju vidusskola")</f>
        <v>Š. Dubnova Rīgas ebreju vidusskola</v>
      </c>
      <c r="G82" s="8" t="str">
        <f ca="1">IFERROR(__xludf.DUMMYFUNCTION("""COMPUTED_VALUE"""),"Makabi")</f>
        <v>Makabi</v>
      </c>
      <c r="H82" s="8" t="str">
        <f ca="1">IFERROR(__xludf.DUMMYFUNCTION("""COMPUTED_VALUE"""),"Daniels Juris Maksimovs")</f>
        <v>Daniels Juris Maksimovs</v>
      </c>
      <c r="I82" s="8" t="str">
        <f ca="1">IFERROR(__xludf.DUMMYFUNCTION("""COMPUTED_VALUE"""),"Ruslans Linde")</f>
        <v>Ruslans Linde</v>
      </c>
      <c r="J82" s="8" t="str">
        <f ca="1">IFERROR(__xludf.DUMMYFUNCTION("""COMPUTED_VALUE"""),"Darja Siņagovska")</f>
        <v>Darja Siņagovska</v>
      </c>
      <c r="K82" s="8" t="str">
        <f ca="1">IFERROR(__xludf.DUMMYFUNCTION("""COMPUTED_VALUE"""),"Baznīca")</f>
        <v>Baznīca</v>
      </c>
      <c r="L82" s="13" t="b">
        <f t="shared" ca="1" si="2"/>
        <v>0</v>
      </c>
      <c r="N82" s="8" t="str">
        <f ca="1">IFERROR(__xludf.DUMMYFUNCTION("""COMPUTED_VALUE"""),"Zaiga")</f>
        <v>Zaiga</v>
      </c>
      <c r="O82" s="13" t="b">
        <f t="shared" ca="1" si="3"/>
        <v>1</v>
      </c>
      <c r="Q82" s="8" t="str">
        <f ca="1">IFERROR(__xludf.DUMMYFUNCTION("""COMPUTED_VALUE"""),"Alberts")</f>
        <v>Alberts</v>
      </c>
      <c r="R82" s="13" t="b">
        <f t="shared" ca="1" si="4"/>
        <v>0</v>
      </c>
      <c r="T82" s="8" t="str">
        <f ca="1">IFERROR(__xludf.DUMMYFUNCTION("""COMPUTED_VALUE"""),"Lojāls")</f>
        <v>Lojāls</v>
      </c>
      <c r="U82" s="13" t="b">
        <f t="shared" ca="1" si="5"/>
        <v>0</v>
      </c>
      <c r="W82" s="8" t="str">
        <f ca="1">IFERROR(__xludf.DUMMYFUNCTION("""COMPUTED_VALUE"""),"Rokās")</f>
        <v>Rokās</v>
      </c>
      <c r="X82" s="13" t="b">
        <f t="shared" ca="1" si="6"/>
        <v>1</v>
      </c>
      <c r="Z82" s="8" t="str">
        <f ca="1">IFERROR(__xludf.DUMMYFUNCTION("""COMPUTED_VALUE"""),"Saulkrasti")</f>
        <v>Saulkrasti</v>
      </c>
      <c r="AA82" s="13" t="b">
        <f t="shared" ca="1" si="7"/>
        <v>0</v>
      </c>
      <c r="AC82" s="8" t="str">
        <f ca="1">IFERROR(__xludf.DUMMYFUNCTION("""COMPUTED_VALUE"""),"Salate")</f>
        <v>Salate</v>
      </c>
      <c r="AD82" s="13" t="b">
        <f t="shared" ca="1" si="8"/>
        <v>1</v>
      </c>
      <c r="AF82" s="8" t="str">
        <f ca="1">IFERROR(__xludf.DUMMYFUNCTION("""COMPUTED_VALUE"""),"Īkšķi")</f>
        <v>Īkšķi</v>
      </c>
      <c r="AG82" s="13" t="b">
        <f t="shared" ca="1" si="9"/>
        <v>0</v>
      </c>
      <c r="AI82" s="8" t="str">
        <f ca="1">IFERROR(__xludf.DUMMYFUNCTION("""COMPUTED_VALUE"""),"Dibināja")</f>
        <v>Dibināja</v>
      </c>
      <c r="AJ82" s="13" t="b">
        <f t="shared" ca="1" si="10"/>
        <v>0</v>
      </c>
      <c r="AK82" s="7" t="b">
        <v>1</v>
      </c>
      <c r="AL82" s="8" t="str">
        <f ca="1">IFERROR(__xludf.DUMMYFUNCTION("""COMPUTED_VALUE"""),"Nodaba")</f>
        <v>Nodaba</v>
      </c>
      <c r="AM82" s="13" t="b">
        <f t="shared" ca="1" si="11"/>
        <v>1</v>
      </c>
      <c r="AO82" s="8" t="b">
        <f ca="1">COUNTIF(Rezultāti!C:C,G82)&gt;0</f>
        <v>1</v>
      </c>
    </row>
    <row r="83" spans="2:41" x14ac:dyDescent="0.25">
      <c r="B83" s="8" t="str">
        <f>IF(C83="","",IF(COUNTIF(Rezultāti!C:C,C83)=0,"Labot",""))</f>
        <v/>
      </c>
      <c r="C83" s="2" t="s">
        <v>119</v>
      </c>
      <c r="D83" s="8">
        <f t="shared" ca="1" si="1"/>
        <v>2</v>
      </c>
      <c r="E83" s="12">
        <f ca="1">IFERROR(__xludf.DUMMYFUNCTION("""COMPUTED_VALUE"""),45603.5381046759)</f>
        <v>45603.538104675899</v>
      </c>
      <c r="F83" s="8" t="str">
        <f ca="1">IFERROR(__xludf.DUMMYFUNCTION("""COMPUTED_VALUE"""),"Rīgas 33.vidusskola")</f>
        <v>Rīgas 33.vidusskola</v>
      </c>
      <c r="G83" s="8" t="str">
        <f ca="1">IFERROR(__xludf.DUMMYFUNCTION("""COMPUTED_VALUE"""),"Spotlight ")</f>
        <v xml:space="preserve">Spotlight </v>
      </c>
      <c r="H83" s="8" t="str">
        <f ca="1">IFERROR(__xludf.DUMMYFUNCTION("""COMPUTED_VALUE"""),"Karolina Kocofane")</f>
        <v>Karolina Kocofane</v>
      </c>
      <c r="I83" s="8" t="str">
        <f ca="1">IFERROR(__xludf.DUMMYFUNCTION("""COMPUTED_VALUE"""),"Sindija Keiša")</f>
        <v>Sindija Keiša</v>
      </c>
      <c r="J83" s="8" t="str">
        <f ca="1">IFERROR(__xludf.DUMMYFUNCTION("""COMPUTED_VALUE"""),"Jāns Skripņiks")</f>
        <v>Jāns Skripņiks</v>
      </c>
      <c r="K83" s="8" t="str">
        <f ca="1">IFERROR(__xludf.DUMMYFUNCTION("""COMPUTED_VALUE"""),"Kapi")</f>
        <v>Kapi</v>
      </c>
      <c r="L83" s="13" t="b">
        <f t="shared" ca="1" si="2"/>
        <v>0</v>
      </c>
      <c r="N83" s="8" t="str">
        <f ca="1">IFERROR(__xludf.DUMMYFUNCTION("""COMPUTED_VALUE"""),"Zaiga")</f>
        <v>Zaiga</v>
      </c>
      <c r="O83" s="13" t="b">
        <f t="shared" ca="1" si="3"/>
        <v>1</v>
      </c>
      <c r="Q83" s="8" t="str">
        <f ca="1">IFERROR(__xludf.DUMMYFUNCTION("""COMPUTED_VALUE"""),"Latvija")</f>
        <v>Latvija</v>
      </c>
      <c r="R83" s="13" t="b">
        <f t="shared" ca="1" si="4"/>
        <v>0</v>
      </c>
      <c r="T83" s="8" t="str">
        <f ca="1">IFERROR(__xludf.DUMMYFUNCTION("""COMPUTED_VALUE"""),"-")</f>
        <v>-</v>
      </c>
      <c r="U83" s="13" t="b">
        <f t="shared" ca="1" si="5"/>
        <v>0</v>
      </c>
      <c r="W83" s="8" t="str">
        <f ca="1">IFERROR(__xludf.DUMMYFUNCTION("""COMPUTED_VALUE"""),"rokās")</f>
        <v>rokās</v>
      </c>
      <c r="X83" s="13" t="b">
        <f t="shared" ca="1" si="6"/>
        <v>1</v>
      </c>
      <c r="Z83" s="8" t="str">
        <f ca="1">IFERROR(__xludf.DUMMYFUNCTION("""COMPUTED_VALUE"""),"-")</f>
        <v>-</v>
      </c>
      <c r="AA83" s="13" t="b">
        <f t="shared" ca="1" si="7"/>
        <v>0</v>
      </c>
      <c r="AC83" s="8" t="str">
        <f ca="1">IFERROR(__xludf.DUMMYFUNCTION("""COMPUTED_VALUE"""),"slieka")</f>
        <v>slieka</v>
      </c>
      <c r="AD83" s="13" t="b">
        <f t="shared" ca="1" si="8"/>
        <v>0</v>
      </c>
      <c r="AF83" s="8" t="str">
        <f ca="1">IFERROR(__xludf.DUMMYFUNCTION("""COMPUTED_VALUE"""),"spēle")</f>
        <v>spēle</v>
      </c>
      <c r="AG83" s="13" t="b">
        <f t="shared" ca="1" si="9"/>
        <v>0</v>
      </c>
      <c r="AI83" s="8" t="str">
        <f ca="1">IFERROR(__xludf.DUMMYFUNCTION("""COMPUTED_VALUE"""),"zvērests")</f>
        <v>zvērests</v>
      </c>
      <c r="AJ83" s="13" t="b">
        <f t="shared" ca="1" si="10"/>
        <v>0</v>
      </c>
      <c r="AL83" s="8" t="str">
        <f ca="1">IFERROR(__xludf.DUMMYFUNCTION("""COMPUTED_VALUE"""),"novads")</f>
        <v>novads</v>
      </c>
      <c r="AM83" s="13" t="b">
        <f t="shared" ca="1" si="11"/>
        <v>0</v>
      </c>
      <c r="AO83" s="8" t="b">
        <f ca="1">COUNTIF(Rezultāti!C:C,G83)&gt;0</f>
        <v>0</v>
      </c>
    </row>
    <row r="84" spans="2:41" x14ac:dyDescent="0.25">
      <c r="B84" s="8" t="str">
        <f ca="1">IF(C84="","",IF(COUNTIF(Rezultāti!C:C,C84)=0,"Labot",""))</f>
        <v/>
      </c>
      <c r="C84" s="8" t="str">
        <f t="shared" ref="C84:C89" ca="1" si="16">IF(COUNTIF(C85:C281,G84)=0,G84,"")</f>
        <v>IPS</v>
      </c>
      <c r="D84" s="8">
        <f t="shared" ca="1" si="1"/>
        <v>5</v>
      </c>
      <c r="E84" s="12">
        <f ca="1">IFERROR(__xludf.DUMMYFUNCTION("""COMPUTED_VALUE"""),45603.538283993)</f>
        <v>45603.538283993003</v>
      </c>
      <c r="F84" s="8" t="str">
        <f ca="1">IFERROR(__xludf.DUMMYFUNCTION("""COMPUTED_VALUE"""),"IKRPV")</f>
        <v>IKRPV</v>
      </c>
      <c r="G84" s="8" t="str">
        <f ca="1">IFERROR(__xludf.DUMMYFUNCTION("""COMPUTED_VALUE"""),"IPS")</f>
        <v>IPS</v>
      </c>
      <c r="H84" s="8" t="str">
        <f ca="1">IFERROR(__xludf.DUMMYFUNCTION("""COMPUTED_VALUE"""),"Daņila Radeckis")</f>
        <v>Daņila Radeckis</v>
      </c>
      <c r="I84" s="8" t="str">
        <f ca="1">IFERROR(__xludf.DUMMYFUNCTION("""COMPUTED_VALUE"""),"Jekaterina Šinkeviča")</f>
        <v>Jekaterina Šinkeviča</v>
      </c>
      <c r="J84" s="8" t="str">
        <f ca="1">IFERROR(__xludf.DUMMYFUNCTION("""COMPUTED_VALUE"""),"Stefānija Dārta Graudiņa")</f>
        <v>Stefānija Dārta Graudiņa</v>
      </c>
      <c r="K84" s="8" t="str">
        <f ca="1">IFERROR(__xludf.DUMMYFUNCTION("""COMPUTED_VALUE"""),"Gīzas piramīdas ")</f>
        <v xml:space="preserve">Gīzas piramīdas </v>
      </c>
      <c r="L84" s="13" t="b">
        <f t="shared" ca="1" si="2"/>
        <v>0</v>
      </c>
      <c r="N84" s="8" t="str">
        <f ca="1">IFERROR(__xludf.DUMMYFUNCTION("""COMPUTED_VALUE"""),"Zaiga")</f>
        <v>Zaiga</v>
      </c>
      <c r="O84" s="13" t="b">
        <f t="shared" ca="1" si="3"/>
        <v>1</v>
      </c>
      <c r="Q84" s="8"/>
      <c r="R84" s="13" t="b">
        <f t="shared" si="4"/>
        <v>0</v>
      </c>
      <c r="T84" s="8" t="str">
        <f ca="1">IFERROR(__xludf.DUMMYFUNCTION("""COMPUTED_VALUE"""),"sveiks")</f>
        <v>sveiks</v>
      </c>
      <c r="U84" s="13" t="b">
        <f t="shared" ca="1" si="5"/>
        <v>0</v>
      </c>
      <c r="W84" s="8" t="str">
        <f ca="1">IFERROR(__xludf.DUMMYFUNCTION("""COMPUTED_VALUE"""),"rokās")</f>
        <v>rokās</v>
      </c>
      <c r="X84" s="13" t="b">
        <f t="shared" ca="1" si="6"/>
        <v>1</v>
      </c>
      <c r="Z84" s="8"/>
      <c r="AA84" s="13" t="b">
        <f t="shared" si="7"/>
        <v>0</v>
      </c>
      <c r="AC84" s="8" t="str">
        <f ca="1">IFERROR(__xludf.DUMMYFUNCTION("""COMPUTED_VALUE"""),"salate")</f>
        <v>salate</v>
      </c>
      <c r="AD84" s="13" t="b">
        <f t="shared" ca="1" si="8"/>
        <v>1</v>
      </c>
      <c r="AF84" s="8"/>
      <c r="AG84" s="13" t="b">
        <f t="shared" si="9"/>
        <v>0</v>
      </c>
      <c r="AI84" s="8" t="str">
        <f ca="1">IFERROR(__xludf.DUMMYFUNCTION("""COMPUTED_VALUE"""),"dibināja")</f>
        <v>dibināja</v>
      </c>
      <c r="AJ84" s="13" t="b">
        <f t="shared" ca="1" si="10"/>
        <v>0</v>
      </c>
      <c r="AK84" s="7" t="b">
        <v>1</v>
      </c>
      <c r="AL84" s="8" t="str">
        <f ca="1">IFERROR(__xludf.DUMMYFUNCTION("""COMPUTED_VALUE"""),"nodaba")</f>
        <v>nodaba</v>
      </c>
      <c r="AM84" s="13" t="b">
        <f t="shared" ca="1" si="11"/>
        <v>1</v>
      </c>
      <c r="AO84" s="8" t="b">
        <f ca="1">COUNTIF(Rezultāti!C:C,G84)&gt;0</f>
        <v>1</v>
      </c>
    </row>
    <row r="85" spans="2:41" x14ac:dyDescent="0.25">
      <c r="B85" s="8" t="str">
        <f ca="1">IF(C85="","",IF(COUNTIF(Rezultāti!C:C,C85)=0,"Labot",""))</f>
        <v/>
      </c>
      <c r="C85" s="8" t="str">
        <f t="shared" ca="1" si="16"/>
        <v>Sprīdīši</v>
      </c>
      <c r="D85" s="8">
        <f t="shared" ca="1" si="1"/>
        <v>5</v>
      </c>
      <c r="E85" s="12">
        <f ca="1">IFERROR(__xludf.DUMMYFUNCTION("""COMPUTED_VALUE"""),45603.5383164236)</f>
        <v>45603.538316423597</v>
      </c>
      <c r="F85" s="8" t="str">
        <f ca="1">IFERROR(__xludf.DUMMYFUNCTION("""COMPUTED_VALUE"""),"Rīgas Valsts 2. ģimnāzija ")</f>
        <v xml:space="preserve">Rīgas Valsts 2. ģimnāzija </v>
      </c>
      <c r="G85" s="8" t="str">
        <f ca="1">IFERROR(__xludf.DUMMYFUNCTION("""COMPUTED_VALUE"""),"Sprīdīši")</f>
        <v>Sprīdīši</v>
      </c>
      <c r="H85" s="8" t="str">
        <f ca="1">IFERROR(__xludf.DUMMYFUNCTION("""COMPUTED_VALUE"""),"Gavriils Kņiga ")</f>
        <v xml:space="preserve">Gavriils Kņiga </v>
      </c>
      <c r="I85" s="8" t="str">
        <f ca="1">IFERROR(__xludf.DUMMYFUNCTION("""COMPUTED_VALUE"""),"Žans Barinovs")</f>
        <v>Žans Barinovs</v>
      </c>
      <c r="J85" s="8" t="str">
        <f ca="1">IFERROR(__xludf.DUMMYFUNCTION("""COMPUTED_VALUE"""),"Katrīna Zvirbule ")</f>
        <v xml:space="preserve">Katrīna Zvirbule </v>
      </c>
      <c r="K85" s="8" t="str">
        <f ca="1">IFERROR(__xludf.DUMMYFUNCTION("""COMPUTED_VALUE"""),"DOMS")</f>
        <v>DOMS</v>
      </c>
      <c r="L85" s="13" t="b">
        <f t="shared" ca="1" si="2"/>
        <v>1</v>
      </c>
      <c r="N85" s="8" t="str">
        <f ca="1">IFERROR(__xludf.DUMMYFUNCTION("""COMPUTED_VALUE"""),"ZAIGA")</f>
        <v>ZAIGA</v>
      </c>
      <c r="O85" s="13" t="b">
        <f t="shared" ca="1" si="3"/>
        <v>1</v>
      </c>
      <c r="Q85" s="8"/>
      <c r="R85" s="13" t="b">
        <f t="shared" si="4"/>
        <v>0</v>
      </c>
      <c r="T85" s="8" t="str">
        <f ca="1">IFERROR(__xludf.DUMMYFUNCTION("""COMPUTED_VALUE"""),"PĀREJA")</f>
        <v>PĀREJA</v>
      </c>
      <c r="U85" s="13" t="b">
        <f t="shared" ca="1" si="5"/>
        <v>0</v>
      </c>
      <c r="W85" s="8" t="str">
        <f ca="1">IFERROR(__xludf.DUMMYFUNCTION("""COMPUTED_VALUE"""),"ROKĀS")</f>
        <v>ROKĀS</v>
      </c>
      <c r="X85" s="13" t="b">
        <f t="shared" ca="1" si="6"/>
        <v>1</v>
      </c>
      <c r="Z85" s="8" t="str">
        <f ca="1">IFERROR(__xludf.DUMMYFUNCTION("""COMPUTED_VALUE"""),"AIZKRAUKLE ")</f>
        <v xml:space="preserve">AIZKRAUKLE </v>
      </c>
      <c r="AA85" s="13" t="b">
        <f t="shared" ca="1" si="7"/>
        <v>0</v>
      </c>
      <c r="AC85" s="8" t="str">
        <f ca="1">IFERROR(__xludf.DUMMYFUNCTION("""COMPUTED_VALUE"""),"SALATE")</f>
        <v>SALATE</v>
      </c>
      <c r="AD85" s="13" t="b">
        <f t="shared" ca="1" si="8"/>
        <v>1</v>
      </c>
      <c r="AF85" s="8"/>
      <c r="AG85" s="13" t="b">
        <f t="shared" si="9"/>
        <v>0</v>
      </c>
      <c r="AI85" s="8" t="str">
        <f ca="1">IFERROR(__xludf.DUMMYFUNCTION("""COMPUTED_VALUE"""),"LIVONIJA")</f>
        <v>LIVONIJA</v>
      </c>
      <c r="AJ85" s="13" t="b">
        <f t="shared" ca="1" si="10"/>
        <v>0</v>
      </c>
      <c r="AL85" s="8" t="str">
        <f ca="1">IFERROR(__xludf.DUMMYFUNCTION("""COMPUTED_VALUE"""),"NODABA")</f>
        <v>NODABA</v>
      </c>
      <c r="AM85" s="13" t="b">
        <f t="shared" ca="1" si="11"/>
        <v>1</v>
      </c>
      <c r="AO85" s="8" t="b">
        <f ca="1">COUNTIF(Rezultāti!C:C,G85)&gt;0</f>
        <v>1</v>
      </c>
    </row>
    <row r="86" spans="2:41" x14ac:dyDescent="0.25">
      <c r="B86" s="8" t="str">
        <f ca="1">IF(C86="","",IF(COUNTIF(Rezultāti!C:C,C86)=0,"Labot",""))</f>
        <v/>
      </c>
      <c r="C86" s="8" t="str">
        <f t="shared" ca="1" si="16"/>
        <v>Šokolādes pudiņš</v>
      </c>
      <c r="D86" s="8">
        <f t="shared" ca="1" si="1"/>
        <v>4</v>
      </c>
      <c r="E86" s="12">
        <f ca="1">IFERROR(__xludf.DUMMYFUNCTION("""COMPUTED_VALUE"""),45603.5384906365)</f>
        <v>45603.5384906365</v>
      </c>
      <c r="F86" s="8" t="str">
        <f ca="1">IFERROR(__xludf.DUMMYFUNCTION("""COMPUTED_VALUE"""),"Rīgas Hanzas vidusskola")</f>
        <v>Rīgas Hanzas vidusskola</v>
      </c>
      <c r="G86" s="8" t="str">
        <f ca="1">IFERROR(__xludf.DUMMYFUNCTION("""COMPUTED_VALUE"""),"Šokolādes pudiņš")</f>
        <v>Šokolādes pudiņš</v>
      </c>
      <c r="H86" s="8" t="str">
        <f ca="1">IFERROR(__xludf.DUMMYFUNCTION("""COMPUTED_VALUE"""),"Ernests Līcis")</f>
        <v>Ernests Līcis</v>
      </c>
      <c r="I86" s="8" t="str">
        <f ca="1">IFERROR(__xludf.DUMMYFUNCTION("""COMPUTED_VALUE"""),"Elīna Blūma")</f>
        <v>Elīna Blūma</v>
      </c>
      <c r="J86" s="8" t="str">
        <f ca="1">IFERROR(__xludf.DUMMYFUNCTION("""COMPUTED_VALUE"""),"Rūdolfs Kilbloks")</f>
        <v>Rūdolfs Kilbloks</v>
      </c>
      <c r="K86" s="8" t="str">
        <f ca="1">IFERROR(__xludf.DUMMYFUNCTION("""COMPUTED_VALUE"""),"Brīvības piemineklis")</f>
        <v>Brīvības piemineklis</v>
      </c>
      <c r="L86" s="13" t="b">
        <f t="shared" ca="1" si="2"/>
        <v>0</v>
      </c>
      <c r="N86" s="8" t="str">
        <f ca="1">IFERROR(__xludf.DUMMYFUNCTION("""COMPUTED_VALUE"""),"ZAIGA")</f>
        <v>ZAIGA</v>
      </c>
      <c r="O86" s="13" t="b">
        <f t="shared" ca="1" si="3"/>
        <v>1</v>
      </c>
      <c r="Q86" s="8" t="str">
        <f ca="1">IFERROR(__xludf.DUMMYFUNCTION("""COMPUTED_VALUE"""),"Piemiņa")</f>
        <v>Piemiņa</v>
      </c>
      <c r="R86" s="13" t="b">
        <f t="shared" ca="1" si="4"/>
        <v>0</v>
      </c>
      <c r="T86" s="8" t="str">
        <f ca="1">IFERROR(__xludf.DUMMYFUNCTION("""COMPUTED_VALUE"""),"Jāzeps")</f>
        <v>Jāzeps</v>
      </c>
      <c r="U86" s="13" t="b">
        <f t="shared" ca="1" si="5"/>
        <v>0</v>
      </c>
      <c r="W86" s="8" t="str">
        <f ca="1">IFERROR(__xludf.DUMMYFUNCTION("""COMPUTED_VALUE"""),"ROKĀS")</f>
        <v>ROKĀS</v>
      </c>
      <c r="X86" s="13" t="b">
        <f t="shared" ca="1" si="6"/>
        <v>1</v>
      </c>
      <c r="Z86" s="8" t="str">
        <f ca="1">IFERROR(__xludf.DUMMYFUNCTION("""COMPUTED_VALUE"""),"SAULGRIEŽI")</f>
        <v>SAULGRIEŽI</v>
      </c>
      <c r="AA86" s="13" t="b">
        <f t="shared" ca="1" si="7"/>
        <v>0</v>
      </c>
      <c r="AC86" s="8" t="str">
        <f ca="1">IFERROR(__xludf.DUMMYFUNCTION("""COMPUTED_VALUE"""),"SALATE")</f>
        <v>SALATE</v>
      </c>
      <c r="AD86" s="13" t="b">
        <f t="shared" ca="1" si="8"/>
        <v>1</v>
      </c>
      <c r="AF86" s="8" t="str">
        <f ca="1">IFERROR(__xludf.DUMMYFUNCTION("""COMPUTED_VALUE"""),"Skaņa")</f>
        <v>Skaņa</v>
      </c>
      <c r="AG86" s="13" t="b">
        <f t="shared" ca="1" si="9"/>
        <v>0</v>
      </c>
      <c r="AI86" s="8" t="str">
        <f ca="1">IFERROR(__xludf.DUMMYFUNCTION("""COMPUTED_VALUE"""),"Tirgojās")</f>
        <v>Tirgojās</v>
      </c>
      <c r="AJ86" s="13" t="b">
        <f t="shared" ca="1" si="10"/>
        <v>0</v>
      </c>
      <c r="AL86" s="8" t="str">
        <f ca="1">IFERROR(__xludf.DUMMYFUNCTION("""COMPUTED_VALUE"""),"NODABA")</f>
        <v>NODABA</v>
      </c>
      <c r="AM86" s="13" t="b">
        <f t="shared" ca="1" si="11"/>
        <v>1</v>
      </c>
      <c r="AO86" s="8" t="b">
        <f ca="1">COUNTIF(Rezultāti!C:C,G86)&gt;0</f>
        <v>1</v>
      </c>
    </row>
    <row r="87" spans="2:41" x14ac:dyDescent="0.25">
      <c r="B87" s="8" t="str">
        <f ca="1">IF(C87="","",IF(COUNTIF(Rezultāti!C:C,C87)=0,"Labot",""))</f>
        <v/>
      </c>
      <c r="C87" s="8" t="str">
        <f t="shared" ca="1" si="16"/>
        <v>Veiksmīgais bizbizMārītis</v>
      </c>
      <c r="D87" s="8">
        <f t="shared" ca="1" si="1"/>
        <v>5</v>
      </c>
      <c r="E87" s="12">
        <f ca="1">IFERROR(__xludf.DUMMYFUNCTION("""COMPUTED_VALUE"""),45603.5386230324)</f>
        <v>45603.5386230324</v>
      </c>
      <c r="F87" s="8" t="str">
        <f ca="1">IFERROR(__xludf.DUMMYFUNCTION("""COMPUTED_VALUE"""),"Rīgas Valsts 1. ğimnāzija")</f>
        <v>Rīgas Valsts 1. ğimnāzija</v>
      </c>
      <c r="G87" s="8" t="str">
        <f ca="1">IFERROR(__xludf.DUMMYFUNCTION("""COMPUTED_VALUE"""),"Veiksmīgais bizbizMārītis")</f>
        <v>Veiksmīgais bizbizMārītis</v>
      </c>
      <c r="H87" s="8" t="str">
        <f ca="1">IFERROR(__xludf.DUMMYFUNCTION("""COMPUTED_VALUE"""),"Kristaps Lāss")</f>
        <v>Kristaps Lāss</v>
      </c>
      <c r="I87" s="8" t="str">
        <f ca="1">IFERROR(__xludf.DUMMYFUNCTION("""COMPUTED_VALUE"""),"Eduards Vuškāns")</f>
        <v>Eduards Vuškāns</v>
      </c>
      <c r="J87" s="8" t="str">
        <f ca="1">IFERROR(__xludf.DUMMYFUNCTION("""COMPUTED_VALUE"""),"Druvis Jansons")</f>
        <v>Druvis Jansons</v>
      </c>
      <c r="K87" s="8" t="str">
        <f ca="1">IFERROR(__xludf.DUMMYFUNCTION("""COMPUTED_VALUE"""),"Ikea")</f>
        <v>Ikea</v>
      </c>
      <c r="L87" s="13" t="b">
        <f t="shared" ca="1" si="2"/>
        <v>0</v>
      </c>
      <c r="N87" s="8" t="str">
        <f ca="1">IFERROR(__xludf.DUMMYFUNCTION("""COMPUTED_VALUE"""),"Zaiga")</f>
        <v>Zaiga</v>
      </c>
      <c r="O87" s="13" t="b">
        <f t="shared" ca="1" si="3"/>
        <v>1</v>
      </c>
      <c r="Q87" s="8" t="str">
        <f ca="1">IFERROR(__xludf.DUMMYFUNCTION("""COMPUTED_VALUE"""),"Pilieni")</f>
        <v>Pilieni</v>
      </c>
      <c r="R87" s="13" t="b">
        <f t="shared" ca="1" si="4"/>
        <v>0</v>
      </c>
      <c r="T87" s="8" t="str">
        <f ca="1">IFERROR(__xludf.DUMMYFUNCTION("""COMPUTED_VALUE"""),"Tetris")</f>
        <v>Tetris</v>
      </c>
      <c r="U87" s="13" t="b">
        <f t="shared" ca="1" si="5"/>
        <v>0</v>
      </c>
      <c r="W87" s="8" t="str">
        <f ca="1">IFERROR(__xludf.DUMMYFUNCTION("""COMPUTED_VALUE"""),"Rokās")</f>
        <v>Rokās</v>
      </c>
      <c r="X87" s="13" t="b">
        <f t="shared" ca="1" si="6"/>
        <v>1</v>
      </c>
      <c r="Z87" s="8" t="str">
        <f ca="1">IFERROR(__xludf.DUMMYFUNCTION("""COMPUTED_VALUE"""),"Saulkrasti")</f>
        <v>Saulkrasti</v>
      </c>
      <c r="AA87" s="13" t="b">
        <f t="shared" ca="1" si="7"/>
        <v>0</v>
      </c>
      <c r="AC87" s="8" t="str">
        <f ca="1">IFERROR(__xludf.DUMMYFUNCTION("""COMPUTED_VALUE"""),"Salate")</f>
        <v>Salate</v>
      </c>
      <c r="AD87" s="13" t="b">
        <f t="shared" ca="1" si="8"/>
        <v>1</v>
      </c>
      <c r="AF87" s="8" t="str">
        <f ca="1">IFERROR(__xludf.DUMMYFUNCTION("""COMPUTED_VALUE"""),"Lampa")</f>
        <v>Lampa</v>
      </c>
      <c r="AG87" s="13" t="b">
        <f t="shared" ca="1" si="9"/>
        <v>0</v>
      </c>
      <c r="AI87" s="8" t="str">
        <f ca="1">IFERROR(__xludf.DUMMYFUNCTION("""COMPUTED_VALUE"""),"Dibināja")</f>
        <v>Dibināja</v>
      </c>
      <c r="AJ87" s="13" t="b">
        <f t="shared" ca="1" si="10"/>
        <v>0</v>
      </c>
      <c r="AK87" s="7" t="b">
        <v>1</v>
      </c>
      <c r="AL87" s="8" t="str">
        <f ca="1">IFERROR(__xludf.DUMMYFUNCTION("""COMPUTED_VALUE"""),"Nodaba")</f>
        <v>Nodaba</v>
      </c>
      <c r="AM87" s="13" t="b">
        <f t="shared" ca="1" si="11"/>
        <v>1</v>
      </c>
      <c r="AO87" s="8" t="b">
        <f ca="1">COUNTIF(Rezultāti!C:C,G87)&gt;0</f>
        <v>1</v>
      </c>
    </row>
    <row r="88" spans="2:41" x14ac:dyDescent="0.25">
      <c r="B88" s="8" t="str">
        <f ca="1">IF(C88="","",IF(COUNTIF(Rezultāti!C:C,C88)=0,"Labot",""))</f>
        <v/>
      </c>
      <c r="C88" s="8" t="str">
        <f t="shared" ca="1" si="16"/>
        <v>ComOne</v>
      </c>
      <c r="D88" s="8">
        <f t="shared" ca="1" si="1"/>
        <v>1</v>
      </c>
      <c r="E88" s="12">
        <f ca="1">IFERROR(__xludf.DUMMYFUNCTION("""COMPUTED_VALUE"""),45603.5386656134)</f>
        <v>45603.5386656134</v>
      </c>
      <c r="F88" s="8" t="str">
        <f ca="1">IFERROR(__xludf.DUMMYFUNCTION("""COMPUTED_VALUE"""),"80.vsk")</f>
        <v>80.vsk</v>
      </c>
      <c r="G88" s="8" t="str">
        <f ca="1">IFERROR(__xludf.DUMMYFUNCTION("""COMPUTED_VALUE"""),"ComOne")</f>
        <v>ComOne</v>
      </c>
      <c r="H88" s="8" t="str">
        <f ca="1">IFERROR(__xludf.DUMMYFUNCTION("""COMPUTED_VALUE"""),"Jegors Šiškins")</f>
        <v>Jegors Šiškins</v>
      </c>
      <c r="I88" s="8" t="str">
        <f ca="1">IFERROR(__xludf.DUMMYFUNCTION("""COMPUTED_VALUE"""),"Ruslans Popakuls")</f>
        <v>Ruslans Popakuls</v>
      </c>
      <c r="J88" s="8" t="str">
        <f ca="1">IFERROR(__xludf.DUMMYFUNCTION("""COMPUTED_VALUE"""),"Daniils Mitriķis")</f>
        <v>Daniils Mitriķis</v>
      </c>
      <c r="K88" s="8" t="str">
        <f ca="1">IFERROR(__xludf.DUMMYFUNCTION("""COMPUTED_VALUE"""),"Tornis")</f>
        <v>Tornis</v>
      </c>
      <c r="L88" s="13" t="b">
        <f t="shared" ca="1" si="2"/>
        <v>0</v>
      </c>
      <c r="N88" s="8" t="str">
        <f ca="1">IFERROR(__xludf.DUMMYFUNCTION("""COMPUTED_VALUE"""),"Zaiga")</f>
        <v>Zaiga</v>
      </c>
      <c r="O88" s="13" t="b">
        <f t="shared" ca="1" si="3"/>
        <v>1</v>
      </c>
      <c r="Q88" s="8" t="str">
        <f ca="1">IFERROR(__xludf.DUMMYFUNCTION("""COMPUTED_VALUE"""),"Četrans")</f>
        <v>Četrans</v>
      </c>
      <c r="R88" s="13" t="b">
        <f t="shared" ca="1" si="4"/>
        <v>0</v>
      </c>
      <c r="T88" s="8" t="str">
        <f ca="1">IFERROR(__xludf.DUMMYFUNCTION("""COMPUTED_VALUE"""),"Kārlis")</f>
        <v>Kārlis</v>
      </c>
      <c r="U88" s="13" t="b">
        <f t="shared" ca="1" si="5"/>
        <v>0</v>
      </c>
      <c r="W88" s="8" t="str">
        <f ca="1">IFERROR(__xludf.DUMMYFUNCTION("""COMPUTED_VALUE"""),"Pabeidz teikumu nākotne ir tavas")</f>
        <v>Pabeidz teikumu nākotne ir tavas</v>
      </c>
      <c r="X88" s="13" t="b">
        <f t="shared" ca="1" si="6"/>
        <v>0</v>
      </c>
      <c r="Z88" s="8" t="str">
        <f ca="1">IFERROR(__xludf.DUMMYFUNCTION("""COMPUTED_VALUE"""),"saulkrasti")</f>
        <v>saulkrasti</v>
      </c>
      <c r="AA88" s="13" t="b">
        <f t="shared" ca="1" si="7"/>
        <v>0</v>
      </c>
      <c r="AC88" s="8" t="str">
        <f ca="1">IFERROR(__xludf.DUMMYFUNCTION("""COMPUTED_VALUE"""),"Alatas")</f>
        <v>Alatas</v>
      </c>
      <c r="AD88" s="13" t="b">
        <f t="shared" ca="1" si="8"/>
        <v>0</v>
      </c>
      <c r="AF88" s="8" t="str">
        <f ca="1">IFERROR(__xludf.DUMMYFUNCTION("""COMPUTED_VALUE"""),"Lapas")</f>
        <v>Lapas</v>
      </c>
      <c r="AG88" s="13" t="b">
        <f t="shared" ca="1" si="9"/>
        <v>0</v>
      </c>
      <c r="AI88" s="8" t="str">
        <f ca="1">IFERROR(__xludf.DUMMYFUNCTION("""COMPUTED_VALUE"""),"Spēriens")</f>
        <v>Spēriens</v>
      </c>
      <c r="AJ88" s="13" t="b">
        <f t="shared" ca="1" si="10"/>
        <v>0</v>
      </c>
      <c r="AL88" s="8" t="str">
        <f ca="1">IFERROR(__xludf.DUMMYFUNCTION("""COMPUTED_VALUE"""),"Oslava")</f>
        <v>Oslava</v>
      </c>
      <c r="AM88" s="13" t="b">
        <f t="shared" ca="1" si="11"/>
        <v>0</v>
      </c>
      <c r="AO88" s="8" t="b">
        <f ca="1">COUNTIF(Rezultāti!C:C,G88)&gt;0</f>
        <v>1</v>
      </c>
    </row>
    <row r="89" spans="2:41" x14ac:dyDescent="0.25">
      <c r="B89" s="8" t="str">
        <f ca="1">IF(C89="","",IF(COUNTIF(Rezultāti!C:C,C89)=0,"Labot",""))</f>
        <v/>
      </c>
      <c r="C89" s="8" t="str">
        <f t="shared" ca="1" si="16"/>
        <v>Viņķeļi</v>
      </c>
      <c r="D89" s="8">
        <f t="shared" ca="1" si="1"/>
        <v>6</v>
      </c>
      <c r="E89" s="12">
        <f ca="1">IFERROR(__xludf.DUMMYFUNCTION("""COMPUTED_VALUE"""),45603.5386931944)</f>
        <v>45603.538693194401</v>
      </c>
      <c r="F89" s="8" t="str">
        <f ca="1">IFERROR(__xludf.DUMMYFUNCTION("""COMPUTED_VALUE"""),"Rīgas 6. Vidusskola")</f>
        <v>Rīgas 6. Vidusskola</v>
      </c>
      <c r="G89" s="8" t="str">
        <f ca="1">IFERROR(__xludf.DUMMYFUNCTION("""COMPUTED_VALUE"""),"Viņķeļi")</f>
        <v>Viņķeļi</v>
      </c>
      <c r="H89" s="8" t="str">
        <f ca="1">IFERROR(__xludf.DUMMYFUNCTION("""COMPUTED_VALUE"""),"Karels Adams Jonass")</f>
        <v>Karels Adams Jonass</v>
      </c>
      <c r="I89" s="8" t="str">
        <f ca="1">IFERROR(__xludf.DUMMYFUNCTION("""COMPUTED_VALUE"""),"Mareks Neverovskis")</f>
        <v>Mareks Neverovskis</v>
      </c>
      <c r="J89" s="8" t="str">
        <f ca="1">IFERROR(__xludf.DUMMYFUNCTION("""COMPUTED_VALUE"""),"Pauls Niklāvs Ušerovskis")</f>
        <v>Pauls Niklāvs Ušerovskis</v>
      </c>
      <c r="K89" s="8" t="str">
        <f ca="1">IFERROR(__xludf.DUMMYFUNCTION("""COMPUTED_VALUE"""),"Doms")</f>
        <v>Doms</v>
      </c>
      <c r="L89" s="13" t="b">
        <f t="shared" ca="1" si="2"/>
        <v>1</v>
      </c>
      <c r="N89" s="8" t="str">
        <f ca="1">IFERROR(__xludf.DUMMYFUNCTION("""COMPUTED_VALUE"""),"Zaiga")</f>
        <v>Zaiga</v>
      </c>
      <c r="O89" s="13" t="b">
        <f t="shared" ca="1" si="3"/>
        <v>1</v>
      </c>
      <c r="Q89" s="8" t="str">
        <f ca="1">IFERROR(__xludf.DUMMYFUNCTION("""COMPUTED_VALUE"""),"Latvija")</f>
        <v>Latvija</v>
      </c>
      <c r="R89" s="13" t="b">
        <f t="shared" ca="1" si="4"/>
        <v>0</v>
      </c>
      <c r="T89" s="8" t="str">
        <f ca="1">IFERROR(__xludf.DUMMYFUNCTION("""COMPUTED_VALUE"""),"Tobago")</f>
        <v>Tobago</v>
      </c>
      <c r="U89" s="13" t="b">
        <f t="shared" ca="1" si="5"/>
        <v>0</v>
      </c>
      <c r="V89" s="7" t="b">
        <v>1</v>
      </c>
      <c r="W89" s="8" t="str">
        <f ca="1">IFERROR(__xludf.DUMMYFUNCTION("""COMPUTED_VALUE"""),"Nākotne ir tavās rokās.")</f>
        <v>Nākotne ir tavās rokās.</v>
      </c>
      <c r="X89" s="13" t="b">
        <f t="shared" ca="1" si="6"/>
        <v>0</v>
      </c>
      <c r="Y89" s="7" t="b">
        <v>1</v>
      </c>
      <c r="Z89" s="8" t="str">
        <f ca="1">IFERROR(__xludf.DUMMYFUNCTION("""COMPUTED_VALUE"""),"Saulkrasti")</f>
        <v>Saulkrasti</v>
      </c>
      <c r="AA89" s="13" t="b">
        <f t="shared" ca="1" si="7"/>
        <v>0</v>
      </c>
      <c r="AC89" s="8" t="str">
        <f ca="1">IFERROR(__xludf.DUMMYFUNCTION("""COMPUTED_VALUE"""),"Salate")</f>
        <v>Salate</v>
      </c>
      <c r="AD89" s="13" t="b">
        <f t="shared" ca="1" si="8"/>
        <v>1</v>
      </c>
      <c r="AF89" s="8" t="str">
        <f ca="1">IFERROR(__xludf.DUMMYFUNCTION("""COMPUTED_VALUE"""),"Rokas")</f>
        <v>Rokas</v>
      </c>
      <c r="AG89" s="13" t="b">
        <f t="shared" ca="1" si="9"/>
        <v>0</v>
      </c>
      <c r="AI89" s="8" t="str">
        <f ca="1">IFERROR(__xludf.DUMMYFUNCTION("""COMPUTED_VALUE"""),"Dibināta")</f>
        <v>Dibināta</v>
      </c>
      <c r="AJ89" s="13" t="b">
        <f t="shared" ca="1" si="10"/>
        <v>1</v>
      </c>
      <c r="AL89" s="8" t="str">
        <f ca="1">IFERROR(__xludf.DUMMYFUNCTION("""COMPUTED_VALUE"""),"NATO")</f>
        <v>NATO</v>
      </c>
      <c r="AM89" s="13" t="b">
        <f t="shared" ca="1" si="11"/>
        <v>0</v>
      </c>
      <c r="AO89" s="8" t="b">
        <f ca="1">COUNTIF(Rezultāti!C:C,G89)&gt;0</f>
        <v>1</v>
      </c>
    </row>
    <row r="90" spans="2:41" x14ac:dyDescent="0.25">
      <c r="B90" s="8" t="str">
        <f>IF(C90="","",IF(COUNTIF(Rezultāti!C:C,C90)=0,"Labot",""))</f>
        <v/>
      </c>
      <c r="C90" s="2" t="s">
        <v>20</v>
      </c>
      <c r="D90" s="8">
        <f t="shared" ca="1" si="1"/>
        <v>6</v>
      </c>
      <c r="E90" s="12">
        <f ca="1">IFERROR(__xludf.DUMMYFUNCTION("""COMPUTED_VALUE"""),45603.5387389004)</f>
        <v>45603.538738900403</v>
      </c>
      <c r="F90" s="8" t="str">
        <f ca="1">IFERROR(__xludf.DUMMYFUNCTION("""COMPUTED_VALUE"""),"Rīgas Valsts 2.ģimnāzija")</f>
        <v>Rīgas Valsts 2.ģimnāzija</v>
      </c>
      <c r="G90" s="8" t="str">
        <f ca="1">IFERROR(__xludf.DUMMYFUNCTION("""COMPUTED_VALUE"""),"IB smart")</f>
        <v>IB smart</v>
      </c>
      <c r="H90" s="8" t="str">
        <f ca="1">IFERROR(__xludf.DUMMYFUNCTION("""COMPUTED_VALUE"""),"Paula Beiziķe")</f>
        <v>Paula Beiziķe</v>
      </c>
      <c r="I90" s="8" t="str">
        <f ca="1">IFERROR(__xludf.DUMMYFUNCTION("""COMPUTED_VALUE"""),"Valentīns Galaiskis")</f>
        <v>Valentīns Galaiskis</v>
      </c>
      <c r="J90" s="8" t="str">
        <f ca="1">IFERROR(__xludf.DUMMYFUNCTION("""COMPUTED_VALUE"""),"Kristiāna Šaško")</f>
        <v>Kristiāna Šaško</v>
      </c>
      <c r="K90" s="8" t="str">
        <f ca="1">IFERROR(__xludf.DUMMYFUNCTION("""COMPUTED_VALUE"""),"doms")</f>
        <v>doms</v>
      </c>
      <c r="L90" s="13" t="b">
        <f t="shared" ca="1" si="2"/>
        <v>1</v>
      </c>
      <c r="N90" s="8" t="str">
        <f ca="1">IFERROR(__xludf.DUMMYFUNCTION("""COMPUTED_VALUE"""),"zaiga")</f>
        <v>zaiga</v>
      </c>
      <c r="O90" s="13" t="b">
        <f t="shared" ca="1" si="3"/>
        <v>1</v>
      </c>
      <c r="Q90" s="8" t="str">
        <f ca="1">IFERROR(__xludf.DUMMYFUNCTION("""COMPUTED_VALUE"""),"piemiņa")</f>
        <v>piemiņa</v>
      </c>
      <c r="R90" s="13" t="b">
        <f t="shared" ca="1" si="4"/>
        <v>0</v>
      </c>
      <c r="T90" s="8" t="str">
        <f ca="1">IFERROR(__xludf.DUMMYFUNCTION("""COMPUTED_VALUE"""),"tobāgo")</f>
        <v>tobāgo</v>
      </c>
      <c r="U90" s="13" t="b">
        <f t="shared" ca="1" si="5"/>
        <v>1</v>
      </c>
      <c r="W90" s="8" t="str">
        <f ca="1">IFERROR(__xludf.DUMMYFUNCTION("""COMPUTED_VALUE"""),"rokās")</f>
        <v>rokās</v>
      </c>
      <c r="X90" s="13" t="b">
        <f t="shared" ca="1" si="6"/>
        <v>1</v>
      </c>
      <c r="Z90" s="8" t="str">
        <f ca="1">IFERROR(__xludf.DUMMYFUNCTION("""COMPUTED_VALUE"""),"daugavpils")</f>
        <v>daugavpils</v>
      </c>
      <c r="AA90" s="13" t="b">
        <f t="shared" ca="1" si="7"/>
        <v>0</v>
      </c>
      <c r="AC90" s="8" t="str">
        <f ca="1">IFERROR(__xludf.DUMMYFUNCTION("""COMPUTED_VALUE"""),"salaka")</f>
        <v>salaka</v>
      </c>
      <c r="AD90" s="13" t="b">
        <f t="shared" ca="1" si="8"/>
        <v>0</v>
      </c>
      <c r="AF90" s="8" t="str">
        <f ca="1">IFERROR(__xludf.DUMMYFUNCTION("""COMPUTED_VALUE"""),"žests")</f>
        <v>žests</v>
      </c>
      <c r="AG90" s="13" t="b">
        <f t="shared" ca="1" si="9"/>
        <v>0</v>
      </c>
      <c r="AI90" s="8" t="str">
        <f ca="1">IFERROR(__xludf.DUMMYFUNCTION("""COMPUTED_VALUE"""),"dibināja")</f>
        <v>dibināja</v>
      </c>
      <c r="AJ90" s="13" t="b">
        <f t="shared" ca="1" si="10"/>
        <v>0</v>
      </c>
      <c r="AK90" s="7" t="b">
        <v>1</v>
      </c>
      <c r="AL90" s="8" t="str">
        <f ca="1">IFERROR(__xludf.DUMMYFUNCTION("""COMPUTED_VALUE"""),"nodaba")</f>
        <v>nodaba</v>
      </c>
      <c r="AM90" s="13" t="b">
        <f t="shared" ca="1" si="11"/>
        <v>1</v>
      </c>
      <c r="AO90" s="8" t="b">
        <f ca="1">COUNTIF(Rezultāti!C:C,G90)&gt;0</f>
        <v>0</v>
      </c>
    </row>
    <row r="91" spans="2:41" x14ac:dyDescent="0.25">
      <c r="B91" s="8" t="str">
        <f>IF(C91="","",IF(COUNTIF(Rezultāti!C:C,C91)=0,"Labot",""))</f>
        <v/>
      </c>
      <c r="C91" s="2" t="s">
        <v>40</v>
      </c>
      <c r="D91" s="8">
        <f t="shared" ca="1" si="1"/>
        <v>5</v>
      </c>
      <c r="E91" s="12">
        <f ca="1">IFERROR(__xludf.DUMMYFUNCTION("""COMPUTED_VALUE"""),45603.5387508912)</f>
        <v>45603.538750891203</v>
      </c>
      <c r="F91" s="8" t="str">
        <f ca="1">IFERROR(__xludf.DUMMYFUNCTION("""COMPUTED_VALUE"""),"Rīgas 6.vidusskola")</f>
        <v>Rīgas 6.vidusskola</v>
      </c>
      <c r="G91" s="8" t="str">
        <f ca="1">IFERROR(__xludf.DUMMYFUNCTION("""COMPUTED_VALUE"""),"Zvaignītes")</f>
        <v>Zvaignītes</v>
      </c>
      <c r="H91" s="8" t="str">
        <f ca="1">IFERROR(__xludf.DUMMYFUNCTION("""COMPUTED_VALUE"""),"Anna Nikola Ozoliņa")</f>
        <v>Anna Nikola Ozoliņa</v>
      </c>
      <c r="I91" s="8" t="str">
        <f ca="1">IFERROR(__xludf.DUMMYFUNCTION("""COMPUTED_VALUE"""),"Madara Ķezbere")</f>
        <v>Madara Ķezbere</v>
      </c>
      <c r="J91" s="8" t="str">
        <f ca="1">IFERROR(__xludf.DUMMYFUNCTION("""COMPUTED_VALUE"""),"Katrīna Mežinska")</f>
        <v>Katrīna Mežinska</v>
      </c>
      <c r="K91" s="8" t="str">
        <f ca="1">IFERROR(__xludf.DUMMYFUNCTION("""COMPUTED_VALUE"""),"Katedrāle")</f>
        <v>Katedrāle</v>
      </c>
      <c r="L91" s="13" t="b">
        <f t="shared" ca="1" si="2"/>
        <v>0</v>
      </c>
      <c r="N91" s="8" t="str">
        <f ca="1">IFERROR(__xludf.DUMMYFUNCTION("""COMPUTED_VALUE"""),"Zaiga")</f>
        <v>Zaiga</v>
      </c>
      <c r="O91" s="13" t="b">
        <f t="shared" ca="1" si="3"/>
        <v>1</v>
      </c>
      <c r="Q91" s="8" t="str">
        <f ca="1">IFERROR(__xludf.DUMMYFUNCTION("""COMPUTED_VALUE"""),"Valdība")</f>
        <v>Valdība</v>
      </c>
      <c r="R91" s="13" t="b">
        <f t="shared" ca="1" si="4"/>
        <v>0</v>
      </c>
      <c r="T91" s="8" t="str">
        <f ca="1">IFERROR(__xludf.DUMMYFUNCTION("""COMPUTED_VALUE"""),"Tobāgo")</f>
        <v>Tobāgo</v>
      </c>
      <c r="U91" s="13" t="b">
        <f t="shared" ca="1" si="5"/>
        <v>1</v>
      </c>
      <c r="W91" s="8" t="str">
        <f ca="1">IFERROR(__xludf.DUMMYFUNCTION("""COMPUTED_VALUE"""),"Rokās")</f>
        <v>Rokās</v>
      </c>
      <c r="X91" s="13" t="b">
        <f t="shared" ca="1" si="6"/>
        <v>1</v>
      </c>
      <c r="Z91" s="8" t="str">
        <f ca="1">IFERROR(__xludf.DUMMYFUNCTION("""COMPUTED_VALUE"""),"Salate")</f>
        <v>Salate</v>
      </c>
      <c r="AA91" s="13" t="b">
        <f t="shared" ca="1" si="7"/>
        <v>0</v>
      </c>
      <c r="AC91" s="8" t="str">
        <f ca="1">IFERROR(__xludf.DUMMYFUNCTION("""COMPUTED_VALUE"""),"Saulkrasti")</f>
        <v>Saulkrasti</v>
      </c>
      <c r="AD91" s="13" t="b">
        <f t="shared" ca="1" si="8"/>
        <v>0</v>
      </c>
      <c r="AF91" s="8" t="str">
        <f ca="1">IFERROR(__xludf.DUMMYFUNCTION("""COMPUTED_VALUE"""),"Kļūda")</f>
        <v>Kļūda</v>
      </c>
      <c r="AG91" s="13" t="b">
        <f t="shared" ca="1" si="9"/>
        <v>0</v>
      </c>
      <c r="AI91" s="8" t="str">
        <f ca="1">IFERROR(__xludf.DUMMYFUNCTION("""COMPUTED_VALUE"""),"Dibināta")</f>
        <v>Dibināta</v>
      </c>
      <c r="AJ91" s="13" t="b">
        <f t="shared" ca="1" si="10"/>
        <v>1</v>
      </c>
      <c r="AL91" s="8" t="str">
        <f ca="1">IFERROR(__xludf.DUMMYFUNCTION("""COMPUTED_VALUE"""),"Nodaba")</f>
        <v>Nodaba</v>
      </c>
      <c r="AM91" s="13" t="b">
        <f t="shared" ca="1" si="11"/>
        <v>1</v>
      </c>
      <c r="AO91" s="8" t="b">
        <f ca="1">COUNTIF(Rezultāti!C:C,G91)&gt;0</f>
        <v>0</v>
      </c>
    </row>
    <row r="92" spans="2:41" x14ac:dyDescent="0.25">
      <c r="B92" s="8" t="str">
        <f ca="1">IF(C92="","",IF(COUNTIF(Rezultāti!C:C,C92)=0,"Labot",""))</f>
        <v/>
      </c>
      <c r="C92" s="8" t="str">
        <f ca="1">IF(COUNTIF(C93:C289,G92)=0,G92,"")</f>
        <v>Atjautības avoti</v>
      </c>
      <c r="D92" s="8">
        <f t="shared" ca="1" si="1"/>
        <v>6</v>
      </c>
      <c r="E92" s="12">
        <f ca="1">IFERROR(__xludf.DUMMYFUNCTION("""COMPUTED_VALUE"""),45603.5387808217)</f>
        <v>45603.538780821698</v>
      </c>
      <c r="F92" s="8" t="str">
        <f ca="1">IFERROR(__xludf.DUMMYFUNCTION("""COMPUTED_VALUE"""),"Rīgas Lietuviešu vidusskola")</f>
        <v>Rīgas Lietuviešu vidusskola</v>
      </c>
      <c r="G92" s="8" t="str">
        <f ca="1">IFERROR(__xludf.DUMMYFUNCTION("""COMPUTED_VALUE"""),"Atjautības avoti")</f>
        <v>Atjautības avoti</v>
      </c>
      <c r="H92" s="8" t="str">
        <f ca="1">IFERROR(__xludf.DUMMYFUNCTION("""COMPUTED_VALUE"""),"Frančeska Stafecka")</f>
        <v>Frančeska Stafecka</v>
      </c>
      <c r="I92" s="8" t="str">
        <f ca="1">IFERROR(__xludf.DUMMYFUNCTION("""COMPUTED_VALUE"""),"Elīza Loca")</f>
        <v>Elīza Loca</v>
      </c>
      <c r="J92" s="8" t="str">
        <f ca="1">IFERROR(__xludf.DUMMYFUNCTION("""COMPUTED_VALUE"""),"Paula Burgmane")</f>
        <v>Paula Burgmane</v>
      </c>
      <c r="K92" s="8" t="str">
        <f ca="1">IFERROR(__xludf.DUMMYFUNCTION("""COMPUTED_VALUE"""),"Doms")</f>
        <v>Doms</v>
      </c>
      <c r="L92" s="13" t="b">
        <f t="shared" ca="1" si="2"/>
        <v>1</v>
      </c>
      <c r="N92" s="8" t="str">
        <f ca="1">IFERROR(__xludf.DUMMYFUNCTION("""COMPUTED_VALUE"""),"Zaiga")</f>
        <v>Zaiga</v>
      </c>
      <c r="O92" s="13" t="b">
        <f t="shared" ca="1" si="3"/>
        <v>1</v>
      </c>
      <c r="Q92" s="8"/>
      <c r="R92" s="13" t="b">
        <f t="shared" si="4"/>
        <v>0</v>
      </c>
      <c r="T92" s="8" t="str">
        <f ca="1">IFERROR(__xludf.DUMMYFUNCTION("""COMPUTED_VALUE"""),"Tobāgo")</f>
        <v>Tobāgo</v>
      </c>
      <c r="U92" s="13" t="b">
        <f t="shared" ca="1" si="5"/>
        <v>1</v>
      </c>
      <c r="W92" s="8" t="str">
        <f ca="1">IFERROR(__xludf.DUMMYFUNCTION("""COMPUTED_VALUE"""),"rokās")</f>
        <v>rokās</v>
      </c>
      <c r="X92" s="13" t="b">
        <f t="shared" ca="1" si="6"/>
        <v>1</v>
      </c>
      <c r="Z92" s="8" t="str">
        <f ca="1">IFERROR(__xludf.DUMMYFUNCTION("""COMPUTED_VALUE"""),"kuģniecība")</f>
        <v>kuģniecība</v>
      </c>
      <c r="AA92" s="13" t="b">
        <f t="shared" ca="1" si="7"/>
        <v>0</v>
      </c>
      <c r="AC92" s="8" t="str">
        <f ca="1">IFERROR(__xludf.DUMMYFUNCTION("""COMPUTED_VALUE"""),"līstes")</f>
        <v>līstes</v>
      </c>
      <c r="AD92" s="13" t="b">
        <f t="shared" ca="1" si="8"/>
        <v>0</v>
      </c>
      <c r="AF92" s="8" t="str">
        <f ca="1">IFERROR(__xludf.DUMMYFUNCTION("""COMPUTED_VALUE"""),"lāpas")</f>
        <v>lāpas</v>
      </c>
      <c r="AG92" s="13" t="b">
        <f t="shared" ca="1" si="9"/>
        <v>0</v>
      </c>
      <c r="AI92" s="8" t="str">
        <f ca="1">IFERROR(__xludf.DUMMYFUNCTION("""COMPUTED_VALUE"""),"dibināta")</f>
        <v>dibināta</v>
      </c>
      <c r="AJ92" s="13" t="b">
        <f t="shared" ca="1" si="10"/>
        <v>1</v>
      </c>
      <c r="AL92" s="8" t="str">
        <f ca="1">IFERROR(__xludf.DUMMYFUNCTION("""COMPUTED_VALUE"""),"nodaba")</f>
        <v>nodaba</v>
      </c>
      <c r="AM92" s="13" t="b">
        <f t="shared" ca="1" si="11"/>
        <v>1</v>
      </c>
      <c r="AO92" s="8" t="b">
        <f ca="1">COUNTIF(Rezultāti!C:C,G92)&gt;0</f>
        <v>1</v>
      </c>
    </row>
    <row r="93" spans="2:41" x14ac:dyDescent="0.25">
      <c r="B93" s="8" t="str">
        <f>IF(C93="","",IF(COUNTIF(Rezultāti!C:C,C93)=0,"Labot",""))</f>
        <v/>
      </c>
      <c r="C93" s="2" t="s">
        <v>86</v>
      </c>
      <c r="D93" s="8">
        <f t="shared" ca="1" si="1"/>
        <v>3</v>
      </c>
      <c r="E93" s="12">
        <f ca="1">IFERROR(__xludf.DUMMYFUNCTION("""COMPUTED_VALUE"""),45603.5388623263)</f>
        <v>45603.538862326299</v>
      </c>
      <c r="F93" s="8" t="str">
        <f ca="1">IFERROR(__xludf.DUMMYFUNCTION("""COMPUTED_VALUE"""),"34. Vidusskola")</f>
        <v>34. Vidusskola</v>
      </c>
      <c r="G93" s="8" t="str">
        <f ca="1">IFERROR(__xludf.DUMMYFUNCTION("""COMPUTED_VALUE"""),"alchemer")</f>
        <v>alchemer</v>
      </c>
      <c r="H93" s="8" t="str">
        <f ca="1">IFERROR(__xludf.DUMMYFUNCTION("""COMPUTED_VALUE"""),"Adrians Rudāns")</f>
        <v>Adrians Rudāns</v>
      </c>
      <c r="I93" s="8" t="str">
        <f ca="1">IFERROR(__xludf.DUMMYFUNCTION("""COMPUTED_VALUE"""),"Arkādijs Lazutenkovs")</f>
        <v>Arkādijs Lazutenkovs</v>
      </c>
      <c r="J93" s="8" t="str">
        <f ca="1">IFERROR(__xludf.DUMMYFUNCTION("""COMPUTED_VALUE"""),"Eldars Barzdens")</f>
        <v>Eldars Barzdens</v>
      </c>
      <c r="K93" s="8" t="str">
        <f ca="1">IFERROR(__xludf.DUMMYFUNCTION("""COMPUTED_VALUE"""),"Hadra")</f>
        <v>Hadra</v>
      </c>
      <c r="L93" s="13" t="b">
        <f t="shared" ca="1" si="2"/>
        <v>0</v>
      </c>
      <c r="N93" s="8" t="str">
        <f ca="1">IFERROR(__xludf.DUMMYFUNCTION("""COMPUTED_VALUE"""),"Zaiga")</f>
        <v>Zaiga</v>
      </c>
      <c r="O93" s="13" t="b">
        <f t="shared" ca="1" si="3"/>
        <v>1</v>
      </c>
      <c r="Q93" s="8" t="str">
        <f ca="1">IFERROR(__xludf.DUMMYFUNCTION("""COMPUTED_VALUE"""),"Aluksne")</f>
        <v>Aluksne</v>
      </c>
      <c r="R93" s="13" t="b">
        <f t="shared" ca="1" si="4"/>
        <v>0</v>
      </c>
      <c r="T93" s="8" t="str">
        <f ca="1">IFERROR(__xludf.DUMMYFUNCTION("""COMPUTED_VALUE"""),"Ziedot")</f>
        <v>Ziedot</v>
      </c>
      <c r="U93" s="13" t="b">
        <f t="shared" ca="1" si="5"/>
        <v>0</v>
      </c>
      <c r="W93" s="8" t="str">
        <f ca="1">IFERROR(__xludf.DUMMYFUNCTION("""COMPUTED_VALUE"""),"Pabeidz teikumu nakotne ir tavas")</f>
        <v>Pabeidz teikumu nakotne ir tavas</v>
      </c>
      <c r="X93" s="13" t="b">
        <f t="shared" ca="1" si="6"/>
        <v>0</v>
      </c>
      <c r="Z93" s="8" t="str">
        <f ca="1">IFERROR(__xludf.DUMMYFUNCTION("""COMPUTED_VALUE"""),"Aizpiltene")</f>
        <v>Aizpiltene</v>
      </c>
      <c r="AA93" s="13" t="b">
        <f t="shared" ca="1" si="7"/>
        <v>0</v>
      </c>
      <c r="AC93" s="8" t="str">
        <f ca="1">IFERROR(__xludf.DUMMYFUNCTION("""COMPUTED_VALUE"""),"Slakae")</f>
        <v>Slakae</v>
      </c>
      <c r="AD93" s="13" t="b">
        <f t="shared" ca="1" si="8"/>
        <v>0</v>
      </c>
      <c r="AF93" s="8" t="str">
        <f ca="1">IFERROR(__xludf.DUMMYFUNCTION("""COMPUTED_VALUE"""),"FAMEĪ")</f>
        <v>FAMEĪ</v>
      </c>
      <c r="AG93" s="13" t="b">
        <f t="shared" ca="1" si="9"/>
        <v>0</v>
      </c>
      <c r="AI93" s="8" t="str">
        <f ca="1">IFERROR(__xludf.DUMMYFUNCTION("""COMPUTED_VALUE"""),"Dibināta")</f>
        <v>Dibināta</v>
      </c>
      <c r="AJ93" s="13" t="b">
        <f t="shared" ca="1" si="10"/>
        <v>1</v>
      </c>
      <c r="AL93" s="8" t="str">
        <f ca="1">IFERROR(__xludf.DUMMYFUNCTION("""COMPUTED_VALUE"""),"Nodaba")</f>
        <v>Nodaba</v>
      </c>
      <c r="AM93" s="13" t="b">
        <f t="shared" ca="1" si="11"/>
        <v>1</v>
      </c>
      <c r="AO93" s="8" t="b">
        <f ca="1">COUNTIF(Rezultāti!C:C,G93)&gt;0</f>
        <v>0</v>
      </c>
    </row>
    <row r="94" spans="2:41" x14ac:dyDescent="0.25">
      <c r="B94" s="8" t="str">
        <f ca="1">IF(C94="","",IF(COUNTIF(Rezultāti!C:C,C94)=0,"Labot",""))</f>
        <v/>
      </c>
      <c r="C94" s="8" t="str">
        <f t="shared" ref="C94:C101" ca="1" si="17">IF(COUNTIF(C95:C291,G94)=0,G94,"")</f>
        <v>Rubiks</v>
      </c>
      <c r="D94" s="8">
        <f t="shared" ca="1" si="1"/>
        <v>3</v>
      </c>
      <c r="E94" s="12">
        <f ca="1">IFERROR(__xludf.DUMMYFUNCTION("""COMPUTED_VALUE"""),45603.5388759143)</f>
        <v>45603.538875914302</v>
      </c>
      <c r="F94" s="8" t="str">
        <f ca="1">IFERROR(__xludf.DUMMYFUNCTION("""COMPUTED_VALUE"""),"88. vidusskola ")</f>
        <v xml:space="preserve">88. vidusskola </v>
      </c>
      <c r="G94" s="8" t="str">
        <f ca="1">IFERROR(__xludf.DUMMYFUNCTION("""COMPUTED_VALUE"""),"Rubiks")</f>
        <v>Rubiks</v>
      </c>
      <c r="H94" s="8" t="str">
        <f ca="1">IFERROR(__xludf.DUMMYFUNCTION("""COMPUTED_VALUE"""),"Santa Anastasija Jaudzema")</f>
        <v>Santa Anastasija Jaudzema</v>
      </c>
      <c r="I94" s="8" t="str">
        <f ca="1">IFERROR(__xludf.DUMMYFUNCTION("""COMPUTED_VALUE"""),"Artjoms Nikolajevs")</f>
        <v>Artjoms Nikolajevs</v>
      </c>
      <c r="J94" s="8" t="str">
        <f ca="1">IFERROR(__xludf.DUMMYFUNCTION("""COMPUTED_VALUE"""),"Vladislavs Drozds")</f>
        <v>Vladislavs Drozds</v>
      </c>
      <c r="K94" s="8" t="str">
        <f ca="1">IFERROR(__xludf.DUMMYFUNCTION("""COMPUTED_VALUE"""),"Daugavpils cietoksnis ")</f>
        <v xml:space="preserve">Daugavpils cietoksnis </v>
      </c>
      <c r="L94" s="13" t="b">
        <f t="shared" ca="1" si="2"/>
        <v>0</v>
      </c>
      <c r="N94" s="8" t="str">
        <f ca="1">IFERROR(__xludf.DUMMYFUNCTION("""COMPUTED_VALUE"""),"Zaiga ")</f>
        <v xml:space="preserve">Zaiga </v>
      </c>
      <c r="O94" s="13" t="b">
        <f t="shared" ca="1" si="3"/>
        <v>0</v>
      </c>
      <c r="P94" s="7" t="b">
        <v>1</v>
      </c>
      <c r="Q94" s="8" t="str">
        <f ca="1">IFERROR(__xludf.DUMMYFUNCTION("""COMPUTED_VALUE"""),"Brīvība ")</f>
        <v xml:space="preserve">Brīvība </v>
      </c>
      <c r="R94" s="13" t="b">
        <f t="shared" ca="1" si="4"/>
        <v>0</v>
      </c>
      <c r="T94" s="8" t="str">
        <f ca="1">IFERROR(__xludf.DUMMYFUNCTION("""COMPUTED_VALUE"""),"Akmens")</f>
        <v>Akmens</v>
      </c>
      <c r="U94" s="13" t="b">
        <f t="shared" ca="1" si="5"/>
        <v>0</v>
      </c>
      <c r="W94" s="8" t="str">
        <f ca="1">IFERROR(__xludf.DUMMYFUNCTION("""COMPUTED_VALUE"""),"Lietotāju iemaksa krājkontā")</f>
        <v>Lietotāju iemaksa krājkontā</v>
      </c>
      <c r="X94" s="13" t="b">
        <f t="shared" ca="1" si="6"/>
        <v>0</v>
      </c>
      <c r="Z94" s="8" t="str">
        <f ca="1">IFERROR(__xludf.DUMMYFUNCTION("""COMPUTED_VALUE"""),"Saulkrasti")</f>
        <v>Saulkrasti</v>
      </c>
      <c r="AA94" s="13" t="b">
        <f t="shared" ca="1" si="7"/>
        <v>0</v>
      </c>
      <c r="AC94" s="8" t="str">
        <f ca="1">IFERROR(__xludf.DUMMYFUNCTION("""COMPUTED_VALUE"""),"Draugs ")</f>
        <v xml:space="preserve">Draugs </v>
      </c>
      <c r="AD94" s="13" t="b">
        <f t="shared" ca="1" si="8"/>
        <v>0</v>
      </c>
      <c r="AF94" s="8" t="str">
        <f ca="1">IFERROR(__xludf.DUMMYFUNCTION("""COMPUTED_VALUE"""),"īsais ")</f>
        <v xml:space="preserve">īsais </v>
      </c>
      <c r="AG94" s="13" t="b">
        <f t="shared" ca="1" si="9"/>
        <v>0</v>
      </c>
      <c r="AI94" s="8" t="str">
        <f ca="1">IFERROR(__xludf.DUMMYFUNCTION("""COMPUTED_VALUE"""),"dibināja ")</f>
        <v xml:space="preserve">dibināja </v>
      </c>
      <c r="AJ94" s="13" t="b">
        <f t="shared" ca="1" si="10"/>
        <v>0</v>
      </c>
      <c r="AK94" s="7" t="b">
        <v>1</v>
      </c>
      <c r="AL94" s="8" t="str">
        <f ca="1">IFERROR(__xludf.DUMMYFUNCTION("""COMPUTED_VALUE"""),"nodaba")</f>
        <v>nodaba</v>
      </c>
      <c r="AM94" s="13" t="b">
        <f t="shared" ca="1" si="11"/>
        <v>1</v>
      </c>
      <c r="AO94" s="8" t="b">
        <f ca="1">COUNTIF(Rezultāti!C:C,G94)&gt;0</f>
        <v>1</v>
      </c>
    </row>
    <row r="95" spans="2:41" x14ac:dyDescent="0.25">
      <c r="B95" s="8" t="str">
        <f ca="1">IF(C95="","",IF(COUNTIF(Rezultāti!C:C,C95)=0,"Labot",""))</f>
        <v/>
      </c>
      <c r="C95" s="8" t="str">
        <f t="shared" ca="1" si="17"/>
        <v>vīrišķīgs</v>
      </c>
      <c r="D95" s="8">
        <f t="shared" ca="1" si="1"/>
        <v>2</v>
      </c>
      <c r="E95" s="12">
        <f ca="1">IFERROR(__xludf.DUMMYFUNCTION("""COMPUTED_VALUE"""),45603.5389515162)</f>
        <v>45603.538951516202</v>
      </c>
      <c r="F95" s="8" t="str">
        <f ca="1">IFERROR(__xludf.DUMMYFUNCTION("""COMPUTED_VALUE"""),"Rīgas Valsts klasiskā ģimnāzija")</f>
        <v>Rīgas Valsts klasiskā ģimnāzija</v>
      </c>
      <c r="G95" s="8" t="str">
        <f ca="1">IFERROR(__xludf.DUMMYFUNCTION("""COMPUTED_VALUE"""),"vīrišķīgs")</f>
        <v>vīrišķīgs</v>
      </c>
      <c r="H95" s="8" t="str">
        <f ca="1">IFERROR(__xludf.DUMMYFUNCTION("""COMPUTED_VALUE"""),"Artjoms Grigorjevs")</f>
        <v>Artjoms Grigorjevs</v>
      </c>
      <c r="I95" s="8" t="str">
        <f ca="1">IFERROR(__xludf.DUMMYFUNCTION("""COMPUTED_VALUE"""),"Nils Kosenčuks")</f>
        <v>Nils Kosenčuks</v>
      </c>
      <c r="J95" s="8" t="str">
        <f ca="1">IFERROR(__xludf.DUMMYFUNCTION("""COMPUTED_VALUE"""),"Igors Oliševecs")</f>
        <v>Igors Oliševecs</v>
      </c>
      <c r="K95" s="8" t="str">
        <f ca="1">IFERROR(__xludf.DUMMYFUNCTION("""COMPUTED_VALUE"""),"baznīca")</f>
        <v>baznīca</v>
      </c>
      <c r="L95" s="13" t="b">
        <f t="shared" ca="1" si="2"/>
        <v>0</v>
      </c>
      <c r="N95" s="8" t="str">
        <f ca="1">IFERROR(__xludf.DUMMYFUNCTION("""COMPUTED_VALUE"""),"Zaiga")</f>
        <v>Zaiga</v>
      </c>
      <c r="O95" s="13" t="b">
        <f t="shared" ca="1" si="3"/>
        <v>1</v>
      </c>
      <c r="Q95" s="8" t="str">
        <f ca="1">IFERROR(__xludf.DUMMYFUNCTION("""COMPUTED_VALUE"""),"Latvijā")</f>
        <v>Latvijā</v>
      </c>
      <c r="R95" s="13" t="b">
        <f t="shared" ca="1" si="4"/>
        <v>0</v>
      </c>
      <c r="T95" s="8" t="str">
        <f ca="1">IFERROR(__xludf.DUMMYFUNCTION("""COMPUTED_VALUE"""),"saknes")</f>
        <v>saknes</v>
      </c>
      <c r="U95" s="13" t="b">
        <f t="shared" ca="1" si="5"/>
        <v>0</v>
      </c>
      <c r="W95" s="8" t="str">
        <f ca="1">IFERROR(__xludf.DUMMYFUNCTION("""COMPUTED_VALUE"""),"rokas")</f>
        <v>rokas</v>
      </c>
      <c r="X95" s="13" t="b">
        <f t="shared" ca="1" si="6"/>
        <v>0</v>
      </c>
      <c r="Y95" s="7" t="b">
        <v>1</v>
      </c>
      <c r="Z95" s="8"/>
      <c r="AA95" s="13" t="b">
        <f t="shared" si="7"/>
        <v>0</v>
      </c>
      <c r="AC95" s="8" t="str">
        <f ca="1">IFERROR(__xludf.DUMMYFUNCTION("""COMPUTED_VALUE"""),"aisāns")</f>
        <v>aisāns</v>
      </c>
      <c r="AD95" s="13" t="b">
        <f t="shared" ca="1" si="8"/>
        <v>0</v>
      </c>
      <c r="AF95" s="8" t="str">
        <f ca="1">IFERROR(__xludf.DUMMYFUNCTION("""COMPUTED_VALUE"""),"lapas")</f>
        <v>lapas</v>
      </c>
      <c r="AG95" s="13" t="b">
        <f t="shared" ca="1" si="9"/>
        <v>0</v>
      </c>
      <c r="AI95" s="8" t="str">
        <f ca="1">IFERROR(__xludf.DUMMYFUNCTION("""COMPUTED_VALUE"""),"gailītis")</f>
        <v>gailītis</v>
      </c>
      <c r="AJ95" s="13" t="b">
        <f t="shared" ca="1" si="10"/>
        <v>0</v>
      </c>
      <c r="AL95" s="8" t="str">
        <f ca="1">IFERROR(__xludf.DUMMYFUNCTION("""COMPUTED_VALUE"""),"pavānu")</f>
        <v>pavānu</v>
      </c>
      <c r="AM95" s="13" t="b">
        <f t="shared" ca="1" si="11"/>
        <v>0</v>
      </c>
      <c r="AO95" s="8" t="b">
        <f ca="1">COUNTIF(Rezultāti!C:C,G95)&gt;0</f>
        <v>1</v>
      </c>
    </row>
    <row r="96" spans="2:41" x14ac:dyDescent="0.25">
      <c r="B96" s="8" t="str">
        <f ca="1">IF(C96="","",IF(COUNTIF(Rezultāti!C:C,C96)=0,"Labot",""))</f>
        <v/>
      </c>
      <c r="C96" s="8" t="str">
        <f t="shared" ca="1" si="17"/>
        <v>Čakstēni</v>
      </c>
      <c r="D96" s="8">
        <f t="shared" ca="1" si="1"/>
        <v>4</v>
      </c>
      <c r="E96" s="12">
        <f ca="1">IFERROR(__xludf.DUMMYFUNCTION("""COMPUTED_VALUE"""),45603.5389630787)</f>
        <v>45603.538963078703</v>
      </c>
      <c r="F96" s="8" t="str">
        <f ca="1">IFERROR(__xludf.DUMMYFUNCTION("""COMPUTED_VALUE"""),"Liepājas Jāņa Čakstes vidusskola")</f>
        <v>Liepājas Jāņa Čakstes vidusskola</v>
      </c>
      <c r="G96" s="8" t="str">
        <f ca="1">IFERROR(__xludf.DUMMYFUNCTION("""COMPUTED_VALUE"""),"Čakstēni")</f>
        <v>Čakstēni</v>
      </c>
      <c r="H96" s="8" t="str">
        <f ca="1">IFERROR(__xludf.DUMMYFUNCTION("""COMPUTED_VALUE"""),"Sabīne Treilība")</f>
        <v>Sabīne Treilība</v>
      </c>
      <c r="I96" s="8" t="str">
        <f ca="1">IFERROR(__xludf.DUMMYFUNCTION("""COMPUTED_VALUE"""),"Klāvs Tereščuks")</f>
        <v>Klāvs Tereščuks</v>
      </c>
      <c r="J96" s="8" t="str">
        <f ca="1">IFERROR(__xludf.DUMMYFUNCTION("""COMPUTED_VALUE"""),"Renejs Šnipke")</f>
        <v>Renejs Šnipke</v>
      </c>
      <c r="K96" s="8" t="str">
        <f ca="1">IFERROR(__xludf.DUMMYFUNCTION("""COMPUTED_VALUE"""),"Pils")</f>
        <v>Pils</v>
      </c>
      <c r="L96" s="13" t="b">
        <f t="shared" ca="1" si="2"/>
        <v>0</v>
      </c>
      <c r="N96" s="8" t="str">
        <f ca="1">IFERROR(__xludf.DUMMYFUNCTION("""COMPUTED_VALUE"""),"Zaiga")</f>
        <v>Zaiga</v>
      </c>
      <c r="O96" s="13" t="b">
        <f t="shared" ca="1" si="3"/>
        <v>1</v>
      </c>
      <c r="Q96" s="8"/>
      <c r="R96" s="13" t="b">
        <f t="shared" si="4"/>
        <v>0</v>
      </c>
      <c r="T96" s="8"/>
      <c r="U96" s="13" t="b">
        <f t="shared" si="5"/>
        <v>0</v>
      </c>
      <c r="W96" s="8" t="str">
        <f ca="1">IFERROR(__xludf.DUMMYFUNCTION("""COMPUTED_VALUE"""),"Rokās")</f>
        <v>Rokās</v>
      </c>
      <c r="X96" s="13" t="b">
        <f t="shared" ca="1" si="6"/>
        <v>1</v>
      </c>
      <c r="Z96" s="8" t="str">
        <f ca="1">IFERROR(__xludf.DUMMYFUNCTION("""COMPUTED_VALUE"""),"Aizkraukle")</f>
        <v>Aizkraukle</v>
      </c>
      <c r="AA96" s="13" t="b">
        <f t="shared" ca="1" si="7"/>
        <v>0</v>
      </c>
      <c r="AC96" s="8" t="str">
        <f ca="1">IFERROR(__xludf.DUMMYFUNCTION("""COMPUTED_VALUE"""),"Slatoe")</f>
        <v>Slatoe</v>
      </c>
      <c r="AD96" s="13" t="b">
        <f t="shared" ca="1" si="8"/>
        <v>0</v>
      </c>
      <c r="AF96" s="8" t="str">
        <f ca="1">IFERROR(__xludf.DUMMYFUNCTION("""COMPUTED_VALUE"""),"Morze")</f>
        <v>Morze</v>
      </c>
      <c r="AG96" s="13" t="b">
        <f t="shared" ca="1" si="9"/>
        <v>0</v>
      </c>
      <c r="AI96" s="8" t="str">
        <f ca="1">IFERROR(__xludf.DUMMYFUNCTION("""COMPUTED_VALUE"""),"Dibināja")</f>
        <v>Dibināja</v>
      </c>
      <c r="AJ96" s="13" t="b">
        <f t="shared" ca="1" si="10"/>
        <v>0</v>
      </c>
      <c r="AK96" s="7" t="b">
        <v>1</v>
      </c>
      <c r="AL96" s="8" t="str">
        <f ca="1">IFERROR(__xludf.DUMMYFUNCTION("""COMPUTED_VALUE"""),"Nodaba")</f>
        <v>Nodaba</v>
      </c>
      <c r="AM96" s="13" t="b">
        <f t="shared" ca="1" si="11"/>
        <v>1</v>
      </c>
      <c r="AO96" s="8" t="b">
        <f ca="1">COUNTIF(Rezultāti!C:C,G96)&gt;0</f>
        <v>1</v>
      </c>
    </row>
    <row r="97" spans="2:41" x14ac:dyDescent="0.25">
      <c r="B97" s="8" t="str">
        <f ca="1">IF(C97="","",IF(COUNTIF(Rezultāti!C:C,C97)=0,"Labot",""))</f>
        <v/>
      </c>
      <c r="C97" s="8" t="str">
        <f t="shared" ca="1" si="17"/>
        <v>IB winning</v>
      </c>
      <c r="D97" s="8">
        <f t="shared" ca="1" si="1"/>
        <v>3</v>
      </c>
      <c r="E97" s="12">
        <f ca="1">IFERROR(__xludf.DUMMYFUNCTION("""COMPUTED_VALUE"""),45603.5390321643)</f>
        <v>45603.539032164299</v>
      </c>
      <c r="F97" s="8" t="str">
        <f ca="1">IFERROR(__xludf.DUMMYFUNCTION("""COMPUTED_VALUE"""),"Rīgas Valsts 2.ģimnāzija")</f>
        <v>Rīgas Valsts 2.ģimnāzija</v>
      </c>
      <c r="G97" s="8" t="str">
        <f ca="1">IFERROR(__xludf.DUMMYFUNCTION("""COMPUTED_VALUE"""),"IB winning")</f>
        <v>IB winning</v>
      </c>
      <c r="H97" s="8" t="str">
        <f ca="1">IFERROR(__xludf.DUMMYFUNCTION("""COMPUTED_VALUE"""),"Elīna Ozoliņa")</f>
        <v>Elīna Ozoliņa</v>
      </c>
      <c r="I97" s="8" t="str">
        <f ca="1">IFERROR(__xludf.DUMMYFUNCTION("""COMPUTED_VALUE"""),"Edgars Reinis Slavinskis")</f>
        <v>Edgars Reinis Slavinskis</v>
      </c>
      <c r="J97" s="8" t="str">
        <f ca="1">IFERROR(__xludf.DUMMYFUNCTION("""COMPUTED_VALUE"""),"Alberts Čevers")</f>
        <v>Alberts Čevers</v>
      </c>
      <c r="K97" s="8" t="str">
        <f ca="1">IFERROR(__xludf.DUMMYFUNCTION("""COMPUTED_VALUE"""),"Rija")</f>
        <v>Rija</v>
      </c>
      <c r="L97" s="13" t="b">
        <f t="shared" ca="1" si="2"/>
        <v>0</v>
      </c>
      <c r="N97" s="8" t="str">
        <f ca="1">IFERROR(__xludf.DUMMYFUNCTION("""COMPUTED_VALUE"""),"Zaiga")</f>
        <v>Zaiga</v>
      </c>
      <c r="O97" s="13" t="b">
        <f t="shared" ca="1" si="3"/>
        <v>1</v>
      </c>
      <c r="Q97" s="8" t="str">
        <f ca="1">IFERROR(__xludf.DUMMYFUNCTION("""COMPUTED_VALUE"""),"Piemiņa")</f>
        <v>Piemiņa</v>
      </c>
      <c r="R97" s="13" t="b">
        <f t="shared" ca="1" si="4"/>
        <v>0</v>
      </c>
      <c r="T97" s="8" t="str">
        <f ca="1">IFERROR(__xludf.DUMMYFUNCTION("""COMPUTED_VALUE"""),"Tobāgo")</f>
        <v>Tobāgo</v>
      </c>
      <c r="U97" s="13" t="b">
        <f t="shared" ca="1" si="5"/>
        <v>1</v>
      </c>
      <c r="W97" s="8" t="str">
        <f ca="1">IFERROR(__xludf.DUMMYFUNCTION("""COMPUTED_VALUE"""),"Atceries ievilkt elpu.")</f>
        <v>Atceries ievilkt elpu.</v>
      </c>
      <c r="X97" s="13" t="b">
        <f t="shared" ca="1" si="6"/>
        <v>0</v>
      </c>
      <c r="Z97" s="8" t="str">
        <f ca="1">IFERROR(__xludf.DUMMYFUNCTION("""COMPUTED_VALUE"""),"Skrajciems")</f>
        <v>Skrajciems</v>
      </c>
      <c r="AA97" s="13" t="b">
        <f t="shared" ca="1" si="7"/>
        <v>0</v>
      </c>
      <c r="AC97" s="8" t="str">
        <f ca="1">IFERROR(__xludf.DUMMYFUNCTION("""COMPUTED_VALUE"""),"Slieka")</f>
        <v>Slieka</v>
      </c>
      <c r="AD97" s="13" t="b">
        <f t="shared" ca="1" si="8"/>
        <v>0</v>
      </c>
      <c r="AF97" s="8" t="str">
        <f ca="1">IFERROR(__xludf.DUMMYFUNCTION("""COMPUTED_VALUE"""),"Žests")</f>
        <v>Žests</v>
      </c>
      <c r="AG97" s="13" t="b">
        <f t="shared" ca="1" si="9"/>
        <v>0</v>
      </c>
      <c r="AI97" s="8" t="str">
        <f ca="1">IFERROR(__xludf.DUMMYFUNCTION("""COMPUTED_VALUE"""),"Dibināta")</f>
        <v>Dibināta</v>
      </c>
      <c r="AJ97" s="13" t="b">
        <f t="shared" ca="1" si="10"/>
        <v>1</v>
      </c>
      <c r="AL97" s="8" t="str">
        <f ca="1">IFERROR(__xludf.DUMMYFUNCTION("""COMPUTED_VALUE"""),"Nadaba")</f>
        <v>Nadaba</v>
      </c>
      <c r="AM97" s="13" t="b">
        <f t="shared" ca="1" si="11"/>
        <v>0</v>
      </c>
      <c r="AO97" s="8" t="b">
        <f ca="1">COUNTIF(Rezultāti!C:C,G97)&gt;0</f>
        <v>1</v>
      </c>
    </row>
    <row r="98" spans="2:41" x14ac:dyDescent="0.25">
      <c r="B98" s="8" t="str">
        <f ca="1">IF(C98="","",IF(COUNTIF(Rezultāti!C:C,C98)=0,"Labot",""))</f>
        <v/>
      </c>
      <c r="C98" s="8" t="str">
        <f t="shared" ca="1" si="17"/>
        <v>Cīnītāji</v>
      </c>
      <c r="D98" s="8">
        <f t="shared" ca="1" si="1"/>
        <v>1</v>
      </c>
      <c r="E98" s="12">
        <f ca="1">IFERROR(__xludf.DUMMYFUNCTION("""COMPUTED_VALUE"""),45603.5390358796)</f>
        <v>45603.539035879599</v>
      </c>
      <c r="F98" s="8" t="str">
        <f ca="1">IFERROR(__xludf.DUMMYFUNCTION("""COMPUTED_VALUE"""),"Rīga 89. vidusskola")</f>
        <v>Rīga 89. vidusskola</v>
      </c>
      <c r="G98" s="8" t="str">
        <f ca="1">IFERROR(__xludf.DUMMYFUNCTION("""COMPUTED_VALUE"""),"Cīnītāji")</f>
        <v>Cīnītāji</v>
      </c>
      <c r="H98" s="8" t="str">
        <f ca="1">IFERROR(__xludf.DUMMYFUNCTION("""COMPUTED_VALUE"""),"Marina Smelova")</f>
        <v>Marina Smelova</v>
      </c>
      <c r="I98" s="8" t="str">
        <f ca="1">IFERROR(__xludf.DUMMYFUNCTION("""COMPUTED_VALUE"""),"Vita Sačoka")</f>
        <v>Vita Sačoka</v>
      </c>
      <c r="J98" s="8" t="str">
        <f ca="1">IFERROR(__xludf.DUMMYFUNCTION("""COMPUTED_VALUE"""),"Milanna Rinkeviciute")</f>
        <v>Milanna Rinkeviciute</v>
      </c>
      <c r="K98" s="8" t="str">
        <f ca="1">IFERROR(__xludf.DUMMYFUNCTION("""COMPUTED_VALUE"""),"skatu torņis")</f>
        <v>skatu torņis</v>
      </c>
      <c r="L98" s="13" t="b">
        <f t="shared" ca="1" si="2"/>
        <v>0</v>
      </c>
      <c r="N98" s="8" t="str">
        <f ca="1">IFERROR(__xludf.DUMMYFUNCTION("""COMPUTED_VALUE"""),"Zaiga")</f>
        <v>Zaiga</v>
      </c>
      <c r="O98" s="13" t="b">
        <f t="shared" ca="1" si="3"/>
        <v>1</v>
      </c>
      <c r="Q98" s="8" t="str">
        <f ca="1">IFERROR(__xludf.DUMMYFUNCTION("""COMPUTED_VALUE"""),"Latvija")</f>
        <v>Latvija</v>
      </c>
      <c r="R98" s="13" t="b">
        <f t="shared" ca="1" si="4"/>
        <v>0</v>
      </c>
      <c r="T98" s="8" t="str">
        <f ca="1">IFERROR(__xludf.DUMMYFUNCTION("""COMPUTED_VALUE"""),"Gaismā")</f>
        <v>Gaismā</v>
      </c>
      <c r="U98" s="13" t="b">
        <f t="shared" ca="1" si="5"/>
        <v>0</v>
      </c>
      <c r="W98" s="8" t="str">
        <f ca="1">IFERROR(__xludf.DUMMYFUNCTION("""COMPUTED_VALUE"""),"pābeidz teikumus nākotne ir tāvās")</f>
        <v>pābeidz teikumus nākotne ir tāvās</v>
      </c>
      <c r="X98" s="13" t="b">
        <f t="shared" ca="1" si="6"/>
        <v>0</v>
      </c>
      <c r="Z98" s="8" t="str">
        <f ca="1">IFERROR(__xludf.DUMMYFUNCTION("""COMPUTED_VALUE"""),"karogstabs")</f>
        <v>karogstabs</v>
      </c>
      <c r="AA98" s="13" t="b">
        <f t="shared" ca="1" si="7"/>
        <v>0</v>
      </c>
      <c r="AC98" s="8" t="str">
        <f ca="1">IFERROR(__xludf.DUMMYFUNCTION("""COMPUTED_VALUE"""),"alkāns")</f>
        <v>alkāns</v>
      </c>
      <c r="AD98" s="13" t="b">
        <f t="shared" ca="1" si="8"/>
        <v>0</v>
      </c>
      <c r="AF98" s="8" t="str">
        <f ca="1">IFERROR(__xludf.DUMMYFUNCTION("""COMPUTED_VALUE"""),"kūģis")</f>
        <v>kūģis</v>
      </c>
      <c r="AG98" s="13" t="b">
        <f t="shared" ca="1" si="9"/>
        <v>0</v>
      </c>
      <c r="AI98" s="8" t="str">
        <f ca="1">IFERROR(__xludf.DUMMYFUNCTION("""COMPUTED_VALUE"""),"virziens")</f>
        <v>virziens</v>
      </c>
      <c r="AJ98" s="13" t="b">
        <f t="shared" ca="1" si="10"/>
        <v>0</v>
      </c>
      <c r="AL98" s="8" t="str">
        <f ca="1">IFERROR(__xludf.DUMMYFUNCTION("""COMPUTED_VALUE"""),"Oskars")</f>
        <v>Oskars</v>
      </c>
      <c r="AM98" s="13" t="b">
        <f t="shared" ca="1" si="11"/>
        <v>0</v>
      </c>
      <c r="AO98" s="8" t="b">
        <f ca="1">COUNTIF(Rezultāti!C:C,G98)&gt;0</f>
        <v>1</v>
      </c>
    </row>
    <row r="99" spans="2:41" x14ac:dyDescent="0.25">
      <c r="B99" s="8" t="str">
        <f ca="1">IF(C99="","",IF(COUNTIF(Rezultāti!C:C,C99)=0,"Labot",""))</f>
        <v/>
      </c>
      <c r="C99" s="8" t="str">
        <f t="shared" ca="1" si="17"/>
        <v>2+1</v>
      </c>
      <c r="D99" s="8">
        <f t="shared" ca="1" si="1"/>
        <v>4</v>
      </c>
      <c r="E99" s="12">
        <f ca="1">IFERROR(__xludf.DUMMYFUNCTION("""COMPUTED_VALUE"""),45603.5390447916)</f>
        <v>45603.5390447916</v>
      </c>
      <c r="F99" s="8" t="str">
        <f ca="1">IFERROR(__xludf.DUMMYFUNCTION("""COMPUTED_VALUE"""),"Rīgas Valsts 3.ģimnāzija")</f>
        <v>Rīgas Valsts 3.ģimnāzija</v>
      </c>
      <c r="G99" s="8" t="str">
        <f ca="1">IFERROR(__xludf.DUMMYFUNCTION("""COMPUTED_VALUE"""),"2+1")</f>
        <v>2+1</v>
      </c>
      <c r="H99" s="8" t="str">
        <f ca="1">IFERROR(__xludf.DUMMYFUNCTION("""COMPUTED_VALUE"""),"Anastasija Mežecka")</f>
        <v>Anastasija Mežecka</v>
      </c>
      <c r="I99" s="8" t="str">
        <f ca="1">IFERROR(__xludf.DUMMYFUNCTION("""COMPUTED_VALUE"""),"Veroņika Popova")</f>
        <v>Veroņika Popova</v>
      </c>
      <c r="J99" s="8" t="str">
        <f ca="1">IFERROR(__xludf.DUMMYFUNCTION("""COMPUTED_VALUE"""),"Rūdolfs Avsjukovs")</f>
        <v>Rūdolfs Avsjukovs</v>
      </c>
      <c r="K99" s="8"/>
      <c r="L99" s="13" t="b">
        <f t="shared" si="2"/>
        <v>0</v>
      </c>
      <c r="N99" s="8" t="str">
        <f ca="1">IFERROR(__xludf.DUMMYFUNCTION("""COMPUTED_VALUE"""),"Zaiga")</f>
        <v>Zaiga</v>
      </c>
      <c r="O99" s="13" t="b">
        <f t="shared" ca="1" si="3"/>
        <v>1</v>
      </c>
      <c r="Q99" s="8"/>
      <c r="R99" s="13" t="b">
        <f t="shared" si="4"/>
        <v>0</v>
      </c>
      <c r="T99" s="8"/>
      <c r="U99" s="13" t="b">
        <f t="shared" si="5"/>
        <v>0</v>
      </c>
      <c r="W99" s="8" t="str">
        <f ca="1">IFERROR(__xludf.DUMMYFUNCTION("""COMPUTED_VALUE"""),"rokās")</f>
        <v>rokās</v>
      </c>
      <c r="X99" s="13" t="b">
        <f t="shared" ca="1" si="6"/>
        <v>1</v>
      </c>
      <c r="Z99" s="8" t="str">
        <f ca="1">IFERROR(__xludf.DUMMYFUNCTION("""COMPUTED_VALUE"""),"Katrīnbādi")</f>
        <v>Katrīnbādi</v>
      </c>
      <c r="AA99" s="13" t="b">
        <f t="shared" ca="1" si="7"/>
        <v>0</v>
      </c>
      <c r="AC99" s="8" t="str">
        <f ca="1">IFERROR(__xludf.DUMMYFUNCTION("""COMPUTED_VALUE"""),"atlase")</f>
        <v>atlase</v>
      </c>
      <c r="AD99" s="13" t="b">
        <f t="shared" ca="1" si="8"/>
        <v>0</v>
      </c>
      <c r="AF99" s="8"/>
      <c r="AG99" s="13" t="b">
        <f t="shared" si="9"/>
        <v>0</v>
      </c>
      <c r="AI99" s="8" t="str">
        <f ca="1">IFERROR(__xludf.DUMMYFUNCTION("""COMPUTED_VALUE"""),"dibināta")</f>
        <v>dibināta</v>
      </c>
      <c r="AJ99" s="13" t="b">
        <f t="shared" ca="1" si="10"/>
        <v>1</v>
      </c>
      <c r="AL99" s="8" t="str">
        <f ca="1">IFERROR(__xludf.DUMMYFUNCTION("""COMPUTED_VALUE"""),"nodaba")</f>
        <v>nodaba</v>
      </c>
      <c r="AM99" s="13" t="b">
        <f t="shared" ca="1" si="11"/>
        <v>1</v>
      </c>
      <c r="AO99" s="8" t="b">
        <f ca="1">COUNTIF(Rezultāti!C:C,G99)&gt;0</f>
        <v>1</v>
      </c>
    </row>
    <row r="100" spans="2:41" x14ac:dyDescent="0.25">
      <c r="B100" s="8" t="str">
        <f ca="1">IF(C100="","",IF(COUNTIF(Rezultāti!C:C,C100)=0,"Labot",""))</f>
        <v/>
      </c>
      <c r="C100" s="8" t="str">
        <f t="shared" ca="1" si="17"/>
        <v>MAD</v>
      </c>
      <c r="D100" s="8">
        <f t="shared" ca="1" si="1"/>
        <v>4</v>
      </c>
      <c r="E100" s="12">
        <f ca="1">IFERROR(__xludf.DUMMYFUNCTION("""COMPUTED_VALUE"""),45603.5390737037)</f>
        <v>45603.539073703701</v>
      </c>
      <c r="F100" s="8" t="str">
        <f ca="1">IFERROR(__xludf.DUMMYFUNCTION("""COMPUTED_VALUE"""),"Rīgas Purvciema vidusskola")</f>
        <v>Rīgas Purvciema vidusskola</v>
      </c>
      <c r="G100" s="8" t="str">
        <f ca="1">IFERROR(__xludf.DUMMYFUNCTION("""COMPUTED_VALUE"""),"MAD")</f>
        <v>MAD</v>
      </c>
      <c r="H100" s="8" t="str">
        <f ca="1">IFERROR(__xludf.DUMMYFUNCTION("""COMPUTED_VALUE"""),"Maksims Flegontovs")</f>
        <v>Maksims Flegontovs</v>
      </c>
      <c r="I100" s="8" t="str">
        <f ca="1">IFERROR(__xludf.DUMMYFUNCTION("""COMPUTED_VALUE"""),"Dimitrijs Joņins")</f>
        <v>Dimitrijs Joņins</v>
      </c>
      <c r="J100" s="8" t="str">
        <f ca="1">IFERROR(__xludf.DUMMYFUNCTION("""COMPUTED_VALUE"""),"Antons Mjatiškins")</f>
        <v>Antons Mjatiškins</v>
      </c>
      <c r="K100" s="8" t="str">
        <f ca="1">IFERROR(__xludf.DUMMYFUNCTION("""COMPUTED_VALUE"""),"Eversmuiža")</f>
        <v>Eversmuiža</v>
      </c>
      <c r="L100" s="13" t="b">
        <f t="shared" ca="1" si="2"/>
        <v>0</v>
      </c>
      <c r="N100" s="8" t="str">
        <f ca="1">IFERROR(__xludf.DUMMYFUNCTION("""COMPUTED_VALUE"""),"Zaiga")</f>
        <v>Zaiga</v>
      </c>
      <c r="O100" s="13" t="b">
        <f t="shared" ca="1" si="3"/>
        <v>1</v>
      </c>
      <c r="Q100" s="8" t="str">
        <f ca="1">IFERROR(__xludf.DUMMYFUNCTION("""COMPUTED_VALUE"""),"Epitets")</f>
        <v>Epitets</v>
      </c>
      <c r="R100" s="13" t="b">
        <f t="shared" ca="1" si="4"/>
        <v>0</v>
      </c>
      <c r="T100" s="8" t="str">
        <f ca="1">IFERROR(__xludf.DUMMYFUNCTION("""COMPUTED_VALUE"""),"gaisma")</f>
        <v>gaisma</v>
      </c>
      <c r="U100" s="13" t="b">
        <f t="shared" ca="1" si="5"/>
        <v>0</v>
      </c>
      <c r="W100" s="8" t="str">
        <f ca="1">IFERROR(__xludf.DUMMYFUNCTION("""COMPUTED_VALUE"""),"rokās")</f>
        <v>rokās</v>
      </c>
      <c r="X100" s="13" t="b">
        <f t="shared" ca="1" si="6"/>
        <v>1</v>
      </c>
      <c r="Z100" s="8" t="str">
        <f ca="1">IFERROR(__xludf.DUMMYFUNCTION("""COMPUTED_VALUE"""),"Saulgrieži")</f>
        <v>Saulgrieži</v>
      </c>
      <c r="AA100" s="13" t="b">
        <f t="shared" ca="1" si="7"/>
        <v>0</v>
      </c>
      <c r="AC100" s="8" t="str">
        <f ca="1">IFERROR(__xludf.DUMMYFUNCTION("""COMPUTED_VALUE"""),"Salaka")</f>
        <v>Salaka</v>
      </c>
      <c r="AD100" s="13" t="b">
        <f t="shared" ca="1" si="8"/>
        <v>0</v>
      </c>
      <c r="AF100" s="8" t="str">
        <f ca="1">IFERROR(__xludf.DUMMYFUNCTION("""COMPUTED_VALUE"""),"Lāpas")</f>
        <v>Lāpas</v>
      </c>
      <c r="AG100" s="13" t="b">
        <f t="shared" ca="1" si="9"/>
        <v>0</v>
      </c>
      <c r="AI100" s="8" t="str">
        <f ca="1">IFERROR(__xludf.DUMMYFUNCTION("""COMPUTED_VALUE"""),"dibināta")</f>
        <v>dibināta</v>
      </c>
      <c r="AJ100" s="13" t="b">
        <f t="shared" ca="1" si="10"/>
        <v>1</v>
      </c>
      <c r="AL100" s="8" t="str">
        <f ca="1">IFERROR(__xludf.DUMMYFUNCTION("""COMPUTED_VALUE"""),"Nodaba")</f>
        <v>Nodaba</v>
      </c>
      <c r="AM100" s="13" t="b">
        <f t="shared" ca="1" si="11"/>
        <v>1</v>
      </c>
      <c r="AO100" s="8" t="b">
        <f ca="1">COUNTIF(Rezultāti!C:C,G100)&gt;0</f>
        <v>1</v>
      </c>
    </row>
    <row r="101" spans="2:41" x14ac:dyDescent="0.25">
      <c r="B101" s="8" t="str">
        <f ca="1">IF(C101="","",IF(COUNTIF(Rezultāti!C:C,C101)=0,"Labot",""))</f>
        <v/>
      </c>
      <c r="C101" s="8" t="str">
        <f t="shared" ca="1" si="17"/>
        <v>IPK</v>
      </c>
      <c r="D101" s="8">
        <f t="shared" ca="1" si="1"/>
        <v>5</v>
      </c>
      <c r="E101" s="12">
        <f ca="1">IFERROR(__xludf.DUMMYFUNCTION("""COMPUTED_VALUE"""),45603.5390815162)</f>
        <v>45603.539081516203</v>
      </c>
      <c r="F101" s="8" t="str">
        <f ca="1">IFERROR(__xludf.DUMMYFUNCTION("""COMPUTED_VALUE"""),"Itas Kozakēvicas Rīgas poļu vidusskola")</f>
        <v>Itas Kozakēvicas Rīgas poļu vidusskola</v>
      </c>
      <c r="G101" s="8" t="str">
        <f ca="1">IFERROR(__xludf.DUMMYFUNCTION("""COMPUTED_VALUE"""),"IPK")</f>
        <v>IPK</v>
      </c>
      <c r="H101" s="8" t="str">
        <f ca="1">IFERROR(__xludf.DUMMYFUNCTION("""COMPUTED_VALUE"""),"Marta Kondratjuk")</f>
        <v>Marta Kondratjuk</v>
      </c>
      <c r="I101" s="8" t="str">
        <f ca="1">IFERROR(__xludf.DUMMYFUNCTION("""COMPUTED_VALUE"""),"Renē Rau")</f>
        <v>Renē Rau</v>
      </c>
      <c r="J101" s="8" t="str">
        <f ca="1">IFERROR(__xludf.DUMMYFUNCTION("""COMPUTED_VALUE"""),"Roberts Duka")</f>
        <v>Roberts Duka</v>
      </c>
      <c r="K101" s="8" t="str">
        <f ca="1">IFERROR(__xludf.DUMMYFUNCTION("""COMPUTED_VALUE"""),"Gizas piramīda")</f>
        <v>Gizas piramīda</v>
      </c>
      <c r="L101" s="13" t="b">
        <f t="shared" ca="1" si="2"/>
        <v>0</v>
      </c>
      <c r="N101" s="8" t="str">
        <f ca="1">IFERROR(__xludf.DUMMYFUNCTION("""COMPUTED_VALUE"""),"Zaiga")</f>
        <v>Zaiga</v>
      </c>
      <c r="O101" s="13" t="b">
        <f t="shared" ca="1" si="3"/>
        <v>1</v>
      </c>
      <c r="Q101" s="8"/>
      <c r="R101" s="13" t="b">
        <f t="shared" si="4"/>
        <v>0</v>
      </c>
      <c r="T101" s="8"/>
      <c r="U101" s="13" t="b">
        <f t="shared" si="5"/>
        <v>0</v>
      </c>
      <c r="W101" s="8" t="str">
        <f ca="1">IFERROR(__xludf.DUMMYFUNCTION("""COMPUTED_VALUE"""),"rokās")</f>
        <v>rokās</v>
      </c>
      <c r="X101" s="13" t="b">
        <f t="shared" ca="1" si="6"/>
        <v>1</v>
      </c>
      <c r="Z101" s="8"/>
      <c r="AA101" s="13" t="b">
        <f t="shared" si="7"/>
        <v>0</v>
      </c>
      <c r="AC101" s="8" t="str">
        <f ca="1">IFERROR(__xludf.DUMMYFUNCTION("""COMPUTED_VALUE"""),"Salate")</f>
        <v>Salate</v>
      </c>
      <c r="AD101" s="13" t="b">
        <f t="shared" ca="1" si="8"/>
        <v>1</v>
      </c>
      <c r="AF101" s="8"/>
      <c r="AG101" s="13" t="b">
        <f t="shared" si="9"/>
        <v>0</v>
      </c>
      <c r="AI101" s="8" t="str">
        <f ca="1">IFERROR(__xludf.DUMMYFUNCTION("""COMPUTED_VALUE"""),"Dibināta")</f>
        <v>Dibināta</v>
      </c>
      <c r="AJ101" s="13" t="b">
        <f t="shared" ca="1" si="10"/>
        <v>1</v>
      </c>
      <c r="AL101" s="8" t="str">
        <f ca="1">IFERROR(__xludf.DUMMYFUNCTION("""COMPUTED_VALUE"""),"Nodaba")</f>
        <v>Nodaba</v>
      </c>
      <c r="AM101" s="13" t="b">
        <f t="shared" ca="1" si="11"/>
        <v>1</v>
      </c>
      <c r="AO101" s="8" t="b">
        <f ca="1">COUNTIF(Rezultāti!C:C,G101)&gt;0</f>
        <v>1</v>
      </c>
    </row>
    <row r="102" spans="2:41" x14ac:dyDescent="0.25">
      <c r="B102" s="8" t="str">
        <f>IF(C102="","",IF(COUNTIF(Rezultāti!C:C,C102)=0,"Labot",""))</f>
        <v/>
      </c>
      <c r="C102" s="2" t="s">
        <v>63</v>
      </c>
      <c r="D102" s="8">
        <f t="shared" ca="1" si="1"/>
        <v>4</v>
      </c>
      <c r="E102" s="12">
        <f ca="1">IFERROR(__xludf.DUMMYFUNCTION("""COMPUTED_VALUE"""),45603.5390833333)</f>
        <v>45603.5390833333</v>
      </c>
      <c r="F102" s="8" t="str">
        <f ca="1">IFERROR(__xludf.DUMMYFUNCTION("""COMPUTED_VALUE"""),"Rīgas 21.vsk ")</f>
        <v xml:space="preserve">Rīgas 21.vsk </v>
      </c>
      <c r="G102" s="8" t="str">
        <f ca="1">IFERROR(__xludf.DUMMYFUNCTION("""COMPUTED_VALUE"""),"Gudrinieks ")</f>
        <v xml:space="preserve">Gudrinieks </v>
      </c>
      <c r="H102" s="8" t="str">
        <f ca="1">IFERROR(__xludf.DUMMYFUNCTION("""COMPUTED_VALUE"""),"Jekaterina Uļčenkova ")</f>
        <v xml:space="preserve">Jekaterina Uļčenkova </v>
      </c>
      <c r="I102" s="8" t="str">
        <f ca="1">IFERROR(__xludf.DUMMYFUNCTION("""COMPUTED_VALUE"""),"Alina Mazunina")</f>
        <v>Alina Mazunina</v>
      </c>
      <c r="J102" s="8" t="str">
        <f ca="1">IFERROR(__xludf.DUMMYFUNCTION("""COMPUTED_VALUE"""),"Ēriks Laiviņš")</f>
        <v>Ēriks Laiviņš</v>
      </c>
      <c r="K102" s="8" t="str">
        <f ca="1">IFERROR(__xludf.DUMMYFUNCTION("""COMPUTED_VALUE"""),"VEF kultūras pils")</f>
        <v>VEF kultūras pils</v>
      </c>
      <c r="L102" s="13" t="b">
        <f t="shared" ca="1" si="2"/>
        <v>0</v>
      </c>
      <c r="N102" s="8" t="str">
        <f ca="1">IFERROR(__xludf.DUMMYFUNCTION("""COMPUTED_VALUE"""),"Zaiga")</f>
        <v>Zaiga</v>
      </c>
      <c r="O102" s="13" t="b">
        <f t="shared" ca="1" si="3"/>
        <v>1</v>
      </c>
      <c r="Q102" s="8" t="str">
        <f ca="1">IFERROR(__xludf.DUMMYFUNCTION("""COMPUTED_VALUE"""),"Latvijā")</f>
        <v>Latvijā</v>
      </c>
      <c r="R102" s="13" t="b">
        <f t="shared" ca="1" si="4"/>
        <v>0</v>
      </c>
      <c r="T102" s="8"/>
      <c r="U102" s="13" t="b">
        <f t="shared" si="5"/>
        <v>0</v>
      </c>
      <c r="W102" s="8" t="str">
        <f ca="1">IFERROR(__xludf.DUMMYFUNCTION("""COMPUTED_VALUE"""),"Rokās")</f>
        <v>Rokās</v>
      </c>
      <c r="X102" s="13" t="b">
        <f t="shared" ca="1" si="6"/>
        <v>1</v>
      </c>
      <c r="Z102" s="8" t="str">
        <f ca="1">IFERROR(__xludf.DUMMYFUNCTION("""COMPUTED_VALUE"""),"Sabiedrība")</f>
        <v>Sabiedrība</v>
      </c>
      <c r="AA102" s="13" t="b">
        <f t="shared" ca="1" si="7"/>
        <v>0</v>
      </c>
      <c r="AC102" s="8" t="str">
        <f ca="1">IFERROR(__xludf.DUMMYFUNCTION("""COMPUTED_VALUE"""),"Salaca")</f>
        <v>Salaca</v>
      </c>
      <c r="AD102" s="13" t="b">
        <f t="shared" ca="1" si="8"/>
        <v>0</v>
      </c>
      <c r="AF102" s="8" t="str">
        <f ca="1">IFERROR(__xludf.DUMMYFUNCTION("""COMPUTED_VALUE"""),"Erors")</f>
        <v>Erors</v>
      </c>
      <c r="AG102" s="13" t="b">
        <f t="shared" ca="1" si="9"/>
        <v>0</v>
      </c>
      <c r="AI102" s="8" t="str">
        <f ca="1">IFERROR(__xludf.DUMMYFUNCTION("""COMPUTED_VALUE"""),"dibināja")</f>
        <v>dibināja</v>
      </c>
      <c r="AJ102" s="13" t="b">
        <f t="shared" ca="1" si="10"/>
        <v>0</v>
      </c>
      <c r="AK102" s="7" t="b">
        <v>1</v>
      </c>
      <c r="AL102" s="8" t="str">
        <f ca="1">IFERROR(__xludf.DUMMYFUNCTION("""COMPUTED_VALUE"""),"Nodaba")</f>
        <v>Nodaba</v>
      </c>
      <c r="AM102" s="13" t="b">
        <f t="shared" ca="1" si="11"/>
        <v>1</v>
      </c>
      <c r="AO102" s="8" t="b">
        <f ca="1">COUNTIF(Rezultāti!C:C,G102)&gt;0</f>
        <v>0</v>
      </c>
    </row>
    <row r="103" spans="2:41" x14ac:dyDescent="0.25">
      <c r="B103" s="8" t="str">
        <f ca="1">IF(C103="","",IF(COUNTIF(Rezultāti!C:C,C103)=0,"Labot",""))</f>
        <v/>
      </c>
      <c r="C103" s="8" t="str">
        <f t="shared" ref="C103:C104" ca="1" si="18">IF(COUNTIF(C104:C300,G103)=0,G103,"")</f>
        <v>6. Elements</v>
      </c>
      <c r="D103" s="8">
        <f t="shared" ca="1" si="1"/>
        <v>6</v>
      </c>
      <c r="E103" s="12">
        <f ca="1">IFERROR(__xludf.DUMMYFUNCTION("""COMPUTED_VALUE"""),45603.5391089351)</f>
        <v>45603.539108935103</v>
      </c>
      <c r="F103" s="8" t="str">
        <f ca="1">IFERROR(__xludf.DUMMYFUNCTION("""COMPUTED_VALUE"""),"Rīgas Valsts vācu Ģimnāzija")</f>
        <v>Rīgas Valsts vācu Ģimnāzija</v>
      </c>
      <c r="G103" s="8" t="str">
        <f ca="1">IFERROR(__xludf.DUMMYFUNCTION("""COMPUTED_VALUE"""),"6. Elements")</f>
        <v>6. Elements</v>
      </c>
      <c r="H103" s="8" t="str">
        <f ca="1">IFERROR(__xludf.DUMMYFUNCTION("""COMPUTED_VALUE"""),"Ģirts Roberts Pīgožnis")</f>
        <v>Ģirts Roberts Pīgožnis</v>
      </c>
      <c r="I103" s="8" t="str">
        <f ca="1">IFERROR(__xludf.DUMMYFUNCTION("""COMPUTED_VALUE"""),"Krišjānis Bērziņš")</f>
        <v>Krišjānis Bērziņš</v>
      </c>
      <c r="J103" s="8" t="str">
        <f ca="1">IFERROR(__xludf.DUMMYFUNCTION("""COMPUTED_VALUE"""),"Tomass Kristiāns Tihanovs")</f>
        <v>Tomass Kristiāns Tihanovs</v>
      </c>
      <c r="K103" s="8" t="str">
        <f ca="1">IFERROR(__xludf.DUMMYFUNCTION("""COMPUTED_VALUE"""),"melngalvju nams")</f>
        <v>melngalvju nams</v>
      </c>
      <c r="L103" s="13" t="b">
        <f t="shared" ca="1" si="2"/>
        <v>0</v>
      </c>
      <c r="N103" s="8" t="str">
        <f ca="1">IFERROR(__xludf.DUMMYFUNCTION("""COMPUTED_VALUE"""),"Zaiga")</f>
        <v>Zaiga</v>
      </c>
      <c r="O103" s="13" t="b">
        <f t="shared" ca="1" si="3"/>
        <v>1</v>
      </c>
      <c r="Q103" s="8" t="str">
        <f ca="1">IFERROR(__xludf.DUMMYFUNCTION("""COMPUTED_VALUE"""),"mulsums")</f>
        <v>mulsums</v>
      </c>
      <c r="R103" s="13" t="b">
        <f t="shared" ca="1" si="4"/>
        <v>0</v>
      </c>
      <c r="T103" s="8"/>
      <c r="U103" s="13" t="b">
        <f t="shared" si="5"/>
        <v>0</v>
      </c>
      <c r="W103" s="8" t="str">
        <f ca="1">IFERROR(__xludf.DUMMYFUNCTION("""COMPUTED_VALUE"""),"rokās")</f>
        <v>rokās</v>
      </c>
      <c r="X103" s="13" t="b">
        <f t="shared" ca="1" si="6"/>
        <v>1</v>
      </c>
      <c r="Z103" s="8" t="str">
        <f ca="1">IFERROR(__xludf.DUMMYFUNCTION("""COMPUTED_VALUE"""),"Salacgrīva")</f>
        <v>Salacgrīva</v>
      </c>
      <c r="AA103" s="13" t="b">
        <f t="shared" ca="1" si="7"/>
        <v>1</v>
      </c>
      <c r="AC103" s="8" t="str">
        <f ca="1">IFERROR(__xludf.DUMMYFUNCTION("""COMPUTED_VALUE"""),"salate")</f>
        <v>salate</v>
      </c>
      <c r="AD103" s="13" t="b">
        <f t="shared" ca="1" si="8"/>
        <v>1</v>
      </c>
      <c r="AF103" s="8" t="str">
        <f ca="1">IFERROR(__xludf.DUMMYFUNCTION("""COMPUTED_VALUE"""),"radio")</f>
        <v>radio</v>
      </c>
      <c r="AG103" s="13" t="b">
        <f t="shared" ca="1" si="9"/>
        <v>0</v>
      </c>
      <c r="AI103" s="8" t="str">
        <f ca="1">IFERROR(__xludf.DUMMYFUNCTION("""COMPUTED_VALUE"""),"dibināta")</f>
        <v>dibināta</v>
      </c>
      <c r="AJ103" s="13" t="b">
        <f t="shared" ca="1" si="10"/>
        <v>1</v>
      </c>
      <c r="AL103" s="8" t="str">
        <f ca="1">IFERROR(__xludf.DUMMYFUNCTION("""COMPUTED_VALUE"""),"nodaba")</f>
        <v>nodaba</v>
      </c>
      <c r="AM103" s="13" t="b">
        <f t="shared" ca="1" si="11"/>
        <v>1</v>
      </c>
      <c r="AO103" s="8" t="b">
        <f ca="1">COUNTIF(Rezultāti!C:C,G103)&gt;0</f>
        <v>1</v>
      </c>
    </row>
    <row r="104" spans="2:41" x14ac:dyDescent="0.25">
      <c r="B104" s="8" t="str">
        <f ca="1">IF(C104="","",IF(COUNTIF(Rezultāti!C:C,C104)=0,"Labot",""))</f>
        <v/>
      </c>
      <c r="C104" s="8" t="str">
        <f t="shared" ca="1" si="18"/>
        <v>ĒSA</v>
      </c>
      <c r="D104" s="8">
        <f t="shared" ca="1" si="1"/>
        <v>3</v>
      </c>
      <c r="E104" s="12">
        <f ca="1">IFERROR(__xludf.DUMMYFUNCTION("""COMPUTED_VALUE"""),45603.5391119444)</f>
        <v>45603.539111944403</v>
      </c>
      <c r="F104" s="8" t="str">
        <f ca="1">IFERROR(__xludf.DUMMYFUNCTION("""COMPUTED_VALUE"""),"Rīgas Valsts vācu ģimnāzija")</f>
        <v>Rīgas Valsts vācu ģimnāzija</v>
      </c>
      <c r="G104" s="8" t="str">
        <f ca="1">IFERROR(__xludf.DUMMYFUNCTION("""COMPUTED_VALUE"""),"ĒSA")</f>
        <v>ĒSA</v>
      </c>
      <c r="H104" s="8" t="str">
        <f ca="1">IFERROR(__xludf.DUMMYFUNCTION("""COMPUTED_VALUE"""),"Ēriks Barkāns")</f>
        <v>Ēriks Barkāns</v>
      </c>
      <c r="I104" s="8" t="str">
        <f ca="1">IFERROR(__xludf.DUMMYFUNCTION("""COMPUTED_VALUE"""),"Sabīne Virse")</f>
        <v>Sabīne Virse</v>
      </c>
      <c r="J104" s="8" t="str">
        <f ca="1">IFERROR(__xludf.DUMMYFUNCTION("""COMPUTED_VALUE"""),"Auce Anne Tidriķe")</f>
        <v>Auce Anne Tidriķe</v>
      </c>
      <c r="K104" s="8" t="str">
        <f ca="1">IFERROR(__xludf.DUMMYFUNCTION("""COMPUTED_VALUE"""),"Beigas")</f>
        <v>Beigas</v>
      </c>
      <c r="L104" s="13" t="b">
        <f t="shared" ca="1" si="2"/>
        <v>0</v>
      </c>
      <c r="N104" s="8" t="str">
        <f ca="1">IFERROR(__xludf.DUMMYFUNCTION("""COMPUTED_VALUE"""),"Zaiga")</f>
        <v>Zaiga</v>
      </c>
      <c r="O104" s="13" t="b">
        <f t="shared" ca="1" si="3"/>
        <v>1</v>
      </c>
      <c r="Q104" s="8" t="str">
        <f ca="1">IFERROR(__xludf.DUMMYFUNCTION("""COMPUTED_VALUE"""),"Pārvads")</f>
        <v>Pārvads</v>
      </c>
      <c r="R104" s="13" t="b">
        <f t="shared" ca="1" si="4"/>
        <v>0</v>
      </c>
      <c r="T104" s="8" t="str">
        <f ca="1">IFERROR(__xludf.DUMMYFUNCTION("""COMPUTED_VALUE"""),"Tetris")</f>
        <v>Tetris</v>
      </c>
      <c r="U104" s="13" t="b">
        <f t="shared" ca="1" si="5"/>
        <v>0</v>
      </c>
      <c r="W104" s="8" t="str">
        <f ca="1">IFERROR(__xludf.DUMMYFUNCTION("""COMPUTED_VALUE"""),"Tests")</f>
        <v>Tests</v>
      </c>
      <c r="X104" s="13" t="b">
        <f t="shared" ca="1" si="6"/>
        <v>0</v>
      </c>
      <c r="Z104" s="8" t="str">
        <f ca="1">IFERROR(__xludf.DUMMYFUNCTION("""COMPUTED_VALUE"""),"Saulkrasti")</f>
        <v>Saulkrasti</v>
      </c>
      <c r="AA104" s="13" t="b">
        <f t="shared" ca="1" si="7"/>
        <v>0</v>
      </c>
      <c r="AC104" s="8" t="str">
        <f ca="1">IFERROR(__xludf.DUMMYFUNCTION("""COMPUTED_VALUE"""),"Slotas")</f>
        <v>Slotas</v>
      </c>
      <c r="AD104" s="13" t="b">
        <f t="shared" ca="1" si="8"/>
        <v>0</v>
      </c>
      <c r="AF104" s="8" t="str">
        <f ca="1">IFERROR(__xludf.DUMMYFUNCTION("""COMPUTED_VALUE"""),"Cilpa")</f>
        <v>Cilpa</v>
      </c>
      <c r="AG104" s="13" t="b">
        <f t="shared" ca="1" si="9"/>
        <v>0</v>
      </c>
      <c r="AI104" s="8" t="str">
        <f ca="1">IFERROR(__xludf.DUMMYFUNCTION("""COMPUTED_VALUE"""),"Dibināja")</f>
        <v>Dibināja</v>
      </c>
      <c r="AJ104" s="13" t="b">
        <f t="shared" ca="1" si="10"/>
        <v>0</v>
      </c>
      <c r="AK104" s="7" t="b">
        <v>1</v>
      </c>
      <c r="AL104" s="8" t="str">
        <f ca="1">IFERROR(__xludf.DUMMYFUNCTION("""COMPUTED_VALUE"""),"Nodaba")</f>
        <v>Nodaba</v>
      </c>
      <c r="AM104" s="13" t="b">
        <f t="shared" ca="1" si="11"/>
        <v>1</v>
      </c>
      <c r="AO104" s="8" t="b">
        <f ca="1">COUNTIF(Rezultāti!C:C,G104)&gt;0</f>
        <v>1</v>
      </c>
    </row>
    <row r="105" spans="2:41" x14ac:dyDescent="0.25">
      <c r="B105" s="8" t="str">
        <f>IF(C105="","",IF(COUNTIF(Rezultāti!C:C,C105)=0,"Labot",""))</f>
        <v/>
      </c>
      <c r="C105" s="7" t="s">
        <v>12</v>
      </c>
      <c r="D105" s="8">
        <f t="shared" ca="1" si="1"/>
        <v>7</v>
      </c>
      <c r="E105" s="12">
        <f ca="1">IFERROR(__xludf.DUMMYFUNCTION("""COMPUTED_VALUE"""),45603.5391288888)</f>
        <v>45603.539128888799</v>
      </c>
      <c r="F105" s="8" t="str">
        <f ca="1">IFERROR(__xludf.DUMMYFUNCTION("""COMPUTED_VALUE"""),"rīgas 6. vidusskola")</f>
        <v>rīgas 6. vidusskola</v>
      </c>
      <c r="G105" s="8" t="str">
        <f ca="1">IFERROR(__xludf.DUMMYFUNCTION("""COMPUTED_VALUE"""),"Komandas nosaukums")</f>
        <v>Komandas nosaukums</v>
      </c>
      <c r="H105" s="8" t="str">
        <f ca="1">IFERROR(__xludf.DUMMYFUNCTION("""COMPUTED_VALUE"""),"Kristīne Barkāne")</f>
        <v>Kristīne Barkāne</v>
      </c>
      <c r="I105" s="8" t="str">
        <f ca="1">IFERROR(__xludf.DUMMYFUNCTION("""COMPUTED_VALUE"""),"Helēna Rožāne")</f>
        <v>Helēna Rožāne</v>
      </c>
      <c r="J105" s="8" t="str">
        <f ca="1">IFERROR(__xludf.DUMMYFUNCTION("""COMPUTED_VALUE"""),"Renārs Veidemanis")</f>
        <v>Renārs Veidemanis</v>
      </c>
      <c r="K105" s="8" t="str">
        <f ca="1">IFERROR(__xludf.DUMMYFUNCTION("""COMPUTED_VALUE"""),"Doms")</f>
        <v>Doms</v>
      </c>
      <c r="L105" s="13" t="b">
        <f t="shared" ca="1" si="2"/>
        <v>1</v>
      </c>
      <c r="N105" s="8" t="str">
        <f ca="1">IFERROR(__xludf.DUMMYFUNCTION("""COMPUTED_VALUE"""),"Zaiga")</f>
        <v>Zaiga</v>
      </c>
      <c r="O105" s="13" t="b">
        <f t="shared" ca="1" si="3"/>
        <v>1</v>
      </c>
      <c r="Q105" s="8" t="str">
        <f ca="1">IFERROR(__xludf.DUMMYFUNCTION("""COMPUTED_VALUE"""),"LATVIJA")</f>
        <v>LATVIJA</v>
      </c>
      <c r="R105" s="13" t="b">
        <f t="shared" ca="1" si="4"/>
        <v>0</v>
      </c>
      <c r="T105" s="8" t="str">
        <f ca="1">IFERROR(__xludf.DUMMYFUNCTION("""COMPUTED_VALUE"""),"Tobāgo")</f>
        <v>Tobāgo</v>
      </c>
      <c r="U105" s="13" t="b">
        <f t="shared" ca="1" si="5"/>
        <v>1</v>
      </c>
      <c r="W105" s="8" t="str">
        <f ca="1">IFERROR(__xludf.DUMMYFUNCTION("""COMPUTED_VALUE"""),"Pabridz teikumu nākotne ir tavās rokās")</f>
        <v>Pabridz teikumu nākotne ir tavās rokās</v>
      </c>
      <c r="X105" s="13" t="b">
        <f t="shared" ca="1" si="6"/>
        <v>0</v>
      </c>
      <c r="Y105" s="7" t="b">
        <v>1</v>
      </c>
      <c r="Z105" s="8" t="str">
        <f ca="1">IFERROR(__xludf.DUMMYFUNCTION("""COMPUTED_VALUE"""),"Saulkrasti")</f>
        <v>Saulkrasti</v>
      </c>
      <c r="AA105" s="13" t="b">
        <f t="shared" ca="1" si="7"/>
        <v>0</v>
      </c>
      <c r="AC105" s="8" t="str">
        <f ca="1">IFERROR(__xludf.DUMMYFUNCTION("""COMPUTED_VALUE"""),"Salate")</f>
        <v>Salate</v>
      </c>
      <c r="AD105" s="13" t="b">
        <f t="shared" ca="1" si="8"/>
        <v>1</v>
      </c>
      <c r="AF105" s="8" t="str">
        <f ca="1">IFERROR(__xludf.DUMMYFUNCTION("""COMPUTED_VALUE"""),"Lampa")</f>
        <v>Lampa</v>
      </c>
      <c r="AG105" s="13" t="b">
        <f t="shared" ca="1" si="9"/>
        <v>0</v>
      </c>
      <c r="AI105" s="8" t="str">
        <f ca="1">IFERROR(__xludf.DUMMYFUNCTION("""COMPUTED_VALUE"""),"Dibināta")</f>
        <v>Dibināta</v>
      </c>
      <c r="AJ105" s="13" t="b">
        <f t="shared" ca="1" si="10"/>
        <v>1</v>
      </c>
      <c r="AL105" s="8" t="str">
        <f ca="1">IFERROR(__xludf.DUMMYFUNCTION("""COMPUTED_VALUE"""),"Nodaba")</f>
        <v>Nodaba</v>
      </c>
      <c r="AM105" s="13" t="b">
        <f t="shared" ca="1" si="11"/>
        <v>1</v>
      </c>
      <c r="AO105" s="8" t="b">
        <f ca="1">COUNTIF(Rezultāti!C:C,G105)&gt;0</f>
        <v>1</v>
      </c>
    </row>
    <row r="106" spans="2:41" x14ac:dyDescent="0.25">
      <c r="B106" s="8" t="str">
        <f ca="1">IF(C106="","",IF(COUNTIF(Rezultāti!C:C,C106)=0,"Labot",""))</f>
        <v/>
      </c>
      <c r="C106" s="8" t="str">
        <f t="shared" ref="C106:C108" ca="1" si="19">IF(COUNTIF(C107:C303,G106)=0,G106,"")</f>
        <v>FosGang</v>
      </c>
      <c r="D106" s="8">
        <f t="shared" ca="1" si="1"/>
        <v>3</v>
      </c>
      <c r="E106" s="12">
        <f ca="1">IFERROR(__xludf.DUMMYFUNCTION("""COMPUTED_VALUE"""),45603.5391468055)</f>
        <v>45603.539146805502</v>
      </c>
      <c r="F106" s="8" t="str">
        <f ca="1">IFERROR(__xludf.DUMMYFUNCTION("""COMPUTED_VALUE"""),"Rīgas 88. vidusskola")</f>
        <v>Rīgas 88. vidusskola</v>
      </c>
      <c r="G106" s="8" t="str">
        <f ca="1">IFERROR(__xludf.DUMMYFUNCTION("""COMPUTED_VALUE"""),"FosGang")</f>
        <v>FosGang</v>
      </c>
      <c r="H106" s="8" t="str">
        <f ca="1">IFERROR(__xludf.DUMMYFUNCTION("""COMPUTED_VALUE"""),"Jana Koļcova")</f>
        <v>Jana Koļcova</v>
      </c>
      <c r="I106" s="8" t="str">
        <f ca="1">IFERROR(__xludf.DUMMYFUNCTION("""COMPUTED_VALUE"""),"Aleksandra Baranovska")</f>
        <v>Aleksandra Baranovska</v>
      </c>
      <c r="J106" s="8" t="str">
        <f ca="1">IFERROR(__xludf.DUMMYFUNCTION("""COMPUTED_VALUE"""),"Deniss Fjodorovs")</f>
        <v>Deniss Fjodorovs</v>
      </c>
      <c r="K106" s="8" t="str">
        <f ca="1">IFERROR(__xludf.DUMMYFUNCTION("""COMPUTED_VALUE"""),"Melns")</f>
        <v>Melns</v>
      </c>
      <c r="L106" s="13" t="b">
        <f t="shared" ca="1" si="2"/>
        <v>0</v>
      </c>
      <c r="N106" s="8" t="str">
        <f ca="1">IFERROR(__xludf.DUMMYFUNCTION("""COMPUTED_VALUE"""),"Evita")</f>
        <v>Evita</v>
      </c>
      <c r="O106" s="13" t="b">
        <f t="shared" ca="1" si="3"/>
        <v>0</v>
      </c>
      <c r="Q106" s="8" t="str">
        <f ca="1">IFERROR(__xludf.DUMMYFUNCTION("""COMPUTED_VALUE"""),"Pilsēta")</f>
        <v>Pilsēta</v>
      </c>
      <c r="R106" s="13" t="b">
        <f t="shared" ca="1" si="4"/>
        <v>0</v>
      </c>
      <c r="T106" s="8" t="str">
        <f ca="1">IFERROR(__xludf.DUMMYFUNCTION("""COMPUTED_VALUE"""),"Lojāli")</f>
        <v>Lojāli</v>
      </c>
      <c r="U106" s="13" t="b">
        <f t="shared" ca="1" si="5"/>
        <v>0</v>
      </c>
      <c r="W106" s="8" t="str">
        <f ca="1">IFERROR(__xludf.DUMMYFUNCTION("""COMPUTED_VALUE"""),"Rokās")</f>
        <v>Rokās</v>
      </c>
      <c r="X106" s="13" t="b">
        <f t="shared" ca="1" si="6"/>
        <v>1</v>
      </c>
      <c r="Z106" s="8" t="str">
        <f ca="1">IFERROR(__xludf.DUMMYFUNCTION("""COMPUTED_VALUE"""),"Hercogiste")</f>
        <v>Hercogiste</v>
      </c>
      <c r="AA106" s="13" t="b">
        <f t="shared" ca="1" si="7"/>
        <v>0</v>
      </c>
      <c r="AC106" s="8" t="str">
        <f ca="1">IFERROR(__xludf.DUMMYFUNCTION("""COMPUTED_VALUE"""),"Slaņis")</f>
        <v>Slaņis</v>
      </c>
      <c r="AD106" s="13" t="b">
        <f t="shared" ca="1" si="8"/>
        <v>0</v>
      </c>
      <c r="AF106" s="8"/>
      <c r="AG106" s="13" t="b">
        <f t="shared" si="9"/>
        <v>0</v>
      </c>
      <c r="AI106" s="8" t="str">
        <f ca="1">IFERROR(__xludf.DUMMYFUNCTION("""COMPUTED_VALUE"""),"Dibināta")</f>
        <v>Dibināta</v>
      </c>
      <c r="AJ106" s="13" t="b">
        <f t="shared" ca="1" si="10"/>
        <v>1</v>
      </c>
      <c r="AL106" s="8" t="str">
        <f ca="1">IFERROR(__xludf.DUMMYFUNCTION("""COMPUTED_VALUE"""),"Nodaba")</f>
        <v>Nodaba</v>
      </c>
      <c r="AM106" s="13" t="b">
        <f t="shared" ca="1" si="11"/>
        <v>1</v>
      </c>
      <c r="AO106" s="8" t="b">
        <f ca="1">COUNTIF(Rezultāti!C:C,G106)&gt;0</f>
        <v>1</v>
      </c>
    </row>
    <row r="107" spans="2:41" x14ac:dyDescent="0.25">
      <c r="B107" s="8" t="str">
        <f ca="1">IF(C107="","",IF(COUNTIF(Rezultāti!C:C,C107)=0,"Labot",""))</f>
        <v/>
      </c>
      <c r="C107" s="8" t="str">
        <f t="shared" ca="1" si="19"/>
        <v>Bread crumbs</v>
      </c>
      <c r="D107" s="8">
        <f t="shared" ca="1" si="1"/>
        <v>5</v>
      </c>
      <c r="E107" s="12">
        <f ca="1">IFERROR(__xludf.DUMMYFUNCTION("""COMPUTED_VALUE"""),45603.5391466435)</f>
        <v>45603.539146643503</v>
      </c>
      <c r="F107" s="8" t="str">
        <f ca="1">IFERROR(__xludf.DUMMYFUNCTION("""COMPUTED_VALUE"""),"Rīgas Zolitūdes ģimnāzija")</f>
        <v>Rīgas Zolitūdes ģimnāzija</v>
      </c>
      <c r="G107" s="8" t="str">
        <f ca="1">IFERROR(__xludf.DUMMYFUNCTION("""COMPUTED_VALUE"""),"Bread crumbs")</f>
        <v>Bread crumbs</v>
      </c>
      <c r="H107" s="8" t="str">
        <f ca="1">IFERROR(__xludf.DUMMYFUNCTION("""COMPUTED_VALUE"""),"Sergejs Orlovs")</f>
        <v>Sergejs Orlovs</v>
      </c>
      <c r="I107" s="8" t="str">
        <f ca="1">IFERROR(__xludf.DUMMYFUNCTION("""COMPUTED_VALUE"""),"Kira Seļihova")</f>
        <v>Kira Seļihova</v>
      </c>
      <c r="J107" s="8" t="str">
        <f ca="1">IFERROR(__xludf.DUMMYFUNCTION("""COMPUTED_VALUE"""),"Sofja Čestniha")</f>
        <v>Sofja Čestniha</v>
      </c>
      <c r="K107" s="8" t="str">
        <f ca="1">IFERROR(__xludf.DUMMYFUNCTION("""COMPUTED_VALUE"""),"Nurmuižas pils")</f>
        <v>Nurmuižas pils</v>
      </c>
      <c r="L107" s="13" t="b">
        <f t="shared" ca="1" si="2"/>
        <v>0</v>
      </c>
      <c r="N107" s="8" t="str">
        <f ca="1">IFERROR(__xludf.DUMMYFUNCTION("""COMPUTED_VALUE"""),"Zaiga")</f>
        <v>Zaiga</v>
      </c>
      <c r="O107" s="13" t="b">
        <f t="shared" ca="1" si="3"/>
        <v>1</v>
      </c>
      <c r="Q107" s="8" t="str">
        <f ca="1">IFERROR(__xludf.DUMMYFUNCTION("""COMPUTED_VALUE"""),"teikums")</f>
        <v>teikums</v>
      </c>
      <c r="R107" s="13" t="b">
        <f t="shared" ca="1" si="4"/>
        <v>0</v>
      </c>
      <c r="T107" s="8" t="str">
        <f ca="1">IFERROR(__xludf.DUMMYFUNCTION("""COMPUTED_VALUE"""),"Pudele")</f>
        <v>Pudele</v>
      </c>
      <c r="U107" s="13" t="b">
        <f t="shared" ca="1" si="5"/>
        <v>0</v>
      </c>
      <c r="W107" s="8" t="str">
        <f ca="1">IFERROR(__xludf.DUMMYFUNCTION("""COMPUTED_VALUE"""),"rokās")</f>
        <v>rokās</v>
      </c>
      <c r="X107" s="13" t="b">
        <f t="shared" ca="1" si="6"/>
        <v>1</v>
      </c>
      <c r="Z107" s="8" t="str">
        <f ca="1">IFERROR(__xludf.DUMMYFUNCTION("""COMPUTED_VALUE"""),"Salacgrīva")</f>
        <v>Salacgrīva</v>
      </c>
      <c r="AA107" s="13" t="b">
        <f t="shared" ca="1" si="7"/>
        <v>1</v>
      </c>
      <c r="AC107" s="8" t="str">
        <f ca="1">IFERROR(__xludf.DUMMYFUNCTION("""COMPUTED_VALUE"""),"Salate")</f>
        <v>Salate</v>
      </c>
      <c r="AD107" s="13" t="b">
        <f t="shared" ca="1" si="8"/>
        <v>1</v>
      </c>
      <c r="AF107" s="8" t="str">
        <f ca="1">IFERROR(__xludf.DUMMYFUNCTION("""COMPUTED_VALUE"""),"Stars")</f>
        <v>Stars</v>
      </c>
      <c r="AG107" s="13" t="b">
        <f t="shared" ca="1" si="9"/>
        <v>0</v>
      </c>
      <c r="AI107" s="8" t="str">
        <f ca="1">IFERROR(__xludf.DUMMYFUNCTION("""COMPUTED_VALUE"""),"Atbrīvot ")</f>
        <v xml:space="preserve">Atbrīvot </v>
      </c>
      <c r="AJ107" s="13" t="b">
        <f t="shared" ca="1" si="10"/>
        <v>0</v>
      </c>
      <c r="AL107" s="8" t="str">
        <f ca="1">IFERROR(__xludf.DUMMYFUNCTION("""COMPUTED_VALUE"""),"Nodaba")</f>
        <v>Nodaba</v>
      </c>
      <c r="AM107" s="13" t="b">
        <f t="shared" ca="1" si="11"/>
        <v>1</v>
      </c>
      <c r="AO107" s="8" t="b">
        <f ca="1">COUNTIF(Rezultāti!C:C,G107)&gt;0</f>
        <v>1</v>
      </c>
    </row>
    <row r="108" spans="2:41" x14ac:dyDescent="0.25">
      <c r="B108" s="8" t="str">
        <f ca="1">IF(C108="","",IF(COUNTIF(Rezultāti!C:C,C108)=0,"Labot",""))</f>
        <v/>
      </c>
      <c r="C108" s="8" t="str">
        <f t="shared" ca="1" si="19"/>
        <v>AAProud</v>
      </c>
      <c r="D108" s="8">
        <f t="shared" ca="1" si="1"/>
        <v>4</v>
      </c>
      <c r="E108" s="12">
        <f ca="1">IFERROR(__xludf.DUMMYFUNCTION("""COMPUTED_VALUE"""),45603.5391661689)</f>
        <v>45603.539166168899</v>
      </c>
      <c r="F108" s="8" t="str">
        <f ca="1">IFERROR(__xludf.DUMMYFUNCTION("""COMPUTED_VALUE"""),"Rīgas 45.vidusskola")</f>
        <v>Rīgas 45.vidusskola</v>
      </c>
      <c r="G108" s="8" t="str">
        <f ca="1">IFERROR(__xludf.DUMMYFUNCTION("""COMPUTED_VALUE"""),"AAProud")</f>
        <v>AAProud</v>
      </c>
      <c r="H108" s="8" t="str">
        <f ca="1">IFERROR(__xludf.DUMMYFUNCTION("""COMPUTED_VALUE"""),"Paula Svārupa")</f>
        <v>Paula Svārupa</v>
      </c>
      <c r="I108" s="8" t="str">
        <f ca="1">IFERROR(__xludf.DUMMYFUNCTION("""COMPUTED_VALUE"""),"Estere Zeiburliņa")</f>
        <v>Estere Zeiburliņa</v>
      </c>
      <c r="J108" s="8" t="str">
        <f ca="1">IFERROR(__xludf.DUMMYFUNCTION("""COMPUTED_VALUE"""),"Nikola Ūdre")</f>
        <v>Nikola Ūdre</v>
      </c>
      <c r="K108" s="8" t="str">
        <f ca="1">IFERROR(__xludf.DUMMYFUNCTION("""COMPUTED_VALUE"""),"Doms")</f>
        <v>Doms</v>
      </c>
      <c r="L108" s="13" t="b">
        <f t="shared" ca="1" si="2"/>
        <v>1</v>
      </c>
      <c r="N108" s="8" t="str">
        <f ca="1">IFERROR(__xludf.DUMMYFUNCTION("""COMPUTED_VALUE"""),"Evita")</f>
        <v>Evita</v>
      </c>
      <c r="O108" s="13" t="b">
        <f t="shared" ca="1" si="3"/>
        <v>0</v>
      </c>
      <c r="Q108" s="8" t="str">
        <f ca="1">IFERROR(__xludf.DUMMYFUNCTION("""COMPUTED_VALUE"""),"Piemiņa")</f>
        <v>Piemiņa</v>
      </c>
      <c r="R108" s="13" t="b">
        <f t="shared" ca="1" si="4"/>
        <v>0</v>
      </c>
      <c r="T108" s="8" t="str">
        <f ca="1">IFERROR(__xludf.DUMMYFUNCTION("""COMPUTED_VALUE"""),"Melnis")</f>
        <v>Melnis</v>
      </c>
      <c r="U108" s="13" t="b">
        <f t="shared" ca="1" si="5"/>
        <v>0</v>
      </c>
      <c r="W108" s="8" t="str">
        <f ca="1">IFERROR(__xludf.DUMMYFUNCTION("""COMPUTED_VALUE"""),"Rokās")</f>
        <v>Rokās</v>
      </c>
      <c r="X108" s="13" t="b">
        <f t="shared" ca="1" si="6"/>
        <v>1</v>
      </c>
      <c r="Z108" s="8" t="str">
        <f ca="1">IFERROR(__xludf.DUMMYFUNCTION("""COMPUTED_VALUE"""),"Saulkrasti")</f>
        <v>Saulkrasti</v>
      </c>
      <c r="AA108" s="13" t="b">
        <f t="shared" ca="1" si="7"/>
        <v>0</v>
      </c>
      <c r="AC108" s="8" t="str">
        <f ca="1">IFERROR(__xludf.DUMMYFUNCTION("""COMPUTED_VALUE"""),"Salaka")</f>
        <v>Salaka</v>
      </c>
      <c r="AD108" s="13" t="b">
        <f t="shared" ca="1" si="8"/>
        <v>0</v>
      </c>
      <c r="AF108" s="8" t="str">
        <f ca="1">IFERROR(__xludf.DUMMYFUNCTION("""COMPUTED_VALUE"""),"Forma")</f>
        <v>Forma</v>
      </c>
      <c r="AG108" s="13" t="b">
        <f t="shared" ca="1" si="9"/>
        <v>0</v>
      </c>
      <c r="AI108" s="8" t="str">
        <f ca="1">IFERROR(__xludf.DUMMYFUNCTION("""COMPUTED_VALUE"""),"Nodibina")</f>
        <v>Nodibina</v>
      </c>
      <c r="AJ108" s="13" t="b">
        <f t="shared" ca="1" si="10"/>
        <v>0</v>
      </c>
      <c r="AK108" s="7" t="b">
        <v>1</v>
      </c>
      <c r="AL108" s="8" t="str">
        <f ca="1">IFERROR(__xludf.DUMMYFUNCTION("""COMPUTED_VALUE"""),"Nodaba")</f>
        <v>Nodaba</v>
      </c>
      <c r="AM108" s="13" t="b">
        <f t="shared" ca="1" si="11"/>
        <v>1</v>
      </c>
      <c r="AO108" s="8" t="b">
        <f ca="1">COUNTIF(Rezultāti!C:C,G108)&gt;0</f>
        <v>1</v>
      </c>
    </row>
    <row r="109" spans="2:41" x14ac:dyDescent="0.25">
      <c r="B109" s="8" t="str">
        <f>IF(C109="","",IF(COUNTIF(Rezultāti!C:C,C109)=0,"Labot",""))</f>
        <v/>
      </c>
      <c r="C109" s="2" t="s">
        <v>117</v>
      </c>
      <c r="D109" s="8">
        <f t="shared" ca="1" si="1"/>
        <v>2</v>
      </c>
      <c r="E109" s="12">
        <f ca="1">IFERROR(__xludf.DUMMYFUNCTION("""COMPUTED_VALUE"""),45603.5391702199)</f>
        <v>45603.539170219898</v>
      </c>
      <c r="F109" s="8" t="str">
        <f ca="1">IFERROR(__xludf.DUMMYFUNCTION("""COMPUTED_VALUE"""),"Rīgas Ostvalda Vidusskola")</f>
        <v>Rīgas Ostvalda Vidusskola</v>
      </c>
      <c r="G109" s="8" t="str">
        <f ca="1">IFERROR(__xludf.DUMMYFUNCTION("""COMPUTED_VALUE"""),"Ostvalds11")</f>
        <v>Ostvalds11</v>
      </c>
      <c r="H109" s="8" t="str">
        <f ca="1">IFERROR(__xludf.DUMMYFUNCTION("""COMPUTED_VALUE"""),"Artemijs Grebņovs")</f>
        <v>Artemijs Grebņovs</v>
      </c>
      <c r="I109" s="8" t="str">
        <f ca="1">IFERROR(__xludf.DUMMYFUNCTION("""COMPUTED_VALUE"""),"Arsenijs Šerstobitivs")</f>
        <v>Arsenijs Šerstobitivs</v>
      </c>
      <c r="J109" s="8" t="str">
        <f ca="1">IFERROR(__xludf.DUMMYFUNCTION("""COMPUTED_VALUE"""),"Sergejs Gončaruks")</f>
        <v>Sergejs Gončaruks</v>
      </c>
      <c r="K109" s="8" t="str">
        <f ca="1">IFERROR(__xludf.DUMMYFUNCTION("""COMPUTED_VALUE"""),"Pils")</f>
        <v>Pils</v>
      </c>
      <c r="L109" s="13" t="b">
        <f t="shared" ca="1" si="2"/>
        <v>0</v>
      </c>
      <c r="N109" s="8" t="str">
        <f ca="1">IFERROR(__xludf.DUMMYFUNCTION("""COMPUTED_VALUE"""),"Zaiga")</f>
        <v>Zaiga</v>
      </c>
      <c r="O109" s="13" t="b">
        <f t="shared" ca="1" si="3"/>
        <v>1</v>
      </c>
      <c r="Q109" s="8"/>
      <c r="R109" s="13" t="b">
        <f t="shared" si="4"/>
        <v>0</v>
      </c>
      <c r="T109" s="8" t="str">
        <f ca="1">IFERROR(__xludf.DUMMYFUNCTION("""COMPUTED_VALUE"""),"Raksti")</f>
        <v>Raksti</v>
      </c>
      <c r="U109" s="13" t="b">
        <f t="shared" ca="1" si="5"/>
        <v>0</v>
      </c>
      <c r="W109" s="8"/>
      <c r="X109" s="13" t="b">
        <f t="shared" si="6"/>
        <v>0</v>
      </c>
      <c r="Z109" s="8" t="str">
        <f ca="1">IFERROR(__xludf.DUMMYFUNCTION("""COMPUTED_VALUE"""),"Aizkraukle")</f>
        <v>Aizkraukle</v>
      </c>
      <c r="AA109" s="13" t="b">
        <f t="shared" ca="1" si="7"/>
        <v>0</v>
      </c>
      <c r="AC109" s="8"/>
      <c r="AD109" s="13" t="b">
        <f t="shared" si="8"/>
        <v>0</v>
      </c>
      <c r="AF109" s="8"/>
      <c r="AG109" s="13" t="b">
        <f t="shared" si="9"/>
        <v>0</v>
      </c>
      <c r="AI109" s="8" t="str">
        <f ca="1">IFERROR(__xludf.DUMMYFUNCTION("""COMPUTED_VALUE"""),"Nokrišņi")</f>
        <v>Nokrišņi</v>
      </c>
      <c r="AJ109" s="13" t="b">
        <f t="shared" ca="1" si="10"/>
        <v>0</v>
      </c>
      <c r="AL109" s="8" t="str">
        <f ca="1">IFERROR(__xludf.DUMMYFUNCTION("""COMPUTED_VALUE"""),"Nodaba")</f>
        <v>Nodaba</v>
      </c>
      <c r="AM109" s="13" t="b">
        <f t="shared" ca="1" si="11"/>
        <v>1</v>
      </c>
      <c r="AO109" s="8" t="b">
        <f ca="1">COUNTIF(Rezultāti!C:C,G109)&gt;0</f>
        <v>0</v>
      </c>
    </row>
    <row r="110" spans="2:41" x14ac:dyDescent="0.25">
      <c r="B110" s="8" t="str">
        <f ca="1">IF(C110="","",IF(COUNTIF(Rezultāti!C:C,C110)=0,"Labot",""))</f>
        <v/>
      </c>
      <c r="C110" s="8" t="str">
        <f ca="1">IF(COUNTIF(C111:C307,G110)=0,G110,"")</f>
        <v>XYZ</v>
      </c>
      <c r="D110" s="8">
        <f t="shared" ca="1" si="1"/>
        <v>4</v>
      </c>
      <c r="E110" s="12">
        <f ca="1">IFERROR(__xludf.DUMMYFUNCTION("""COMPUTED_VALUE"""),45603.5391937499)</f>
        <v>45603.539193749901</v>
      </c>
      <c r="F110" s="8" t="str">
        <f ca="1">IFERROR(__xludf.DUMMYFUNCTION("""COMPUTED_VALUE"""),"Rigas 72. Vidusskola")</f>
        <v>Rigas 72. Vidusskola</v>
      </c>
      <c r="G110" s="8" t="str">
        <f ca="1">IFERROR(__xludf.DUMMYFUNCTION("""COMPUTED_VALUE"""),"XYZ")</f>
        <v>XYZ</v>
      </c>
      <c r="H110" s="8" t="str">
        <f ca="1">IFERROR(__xludf.DUMMYFUNCTION("""COMPUTED_VALUE"""),"Ernests Ralfs Kalniņš")</f>
        <v>Ernests Ralfs Kalniņš</v>
      </c>
      <c r="I110" s="8" t="str">
        <f ca="1">IFERROR(__xludf.DUMMYFUNCTION("""COMPUTED_VALUE"""),"Ronalds Poļakovs")</f>
        <v>Ronalds Poļakovs</v>
      </c>
      <c r="J110" s="8" t="str">
        <f ca="1">IFERROR(__xludf.DUMMYFUNCTION("""COMPUTED_VALUE"""),"Artūrs Izkalnis")</f>
        <v>Artūrs Izkalnis</v>
      </c>
      <c r="K110" s="8" t="str">
        <f ca="1">IFERROR(__xludf.DUMMYFUNCTION("""COMPUTED_VALUE"""),"Rīgas Svētā Pētera Baznīca")</f>
        <v>Rīgas Svētā Pētera Baznīca</v>
      </c>
      <c r="L110" s="13" t="b">
        <f t="shared" ca="1" si="2"/>
        <v>0</v>
      </c>
      <c r="N110" s="8" t="str">
        <f ca="1">IFERROR(__xludf.DUMMYFUNCTION("""COMPUTED_VALUE"""),"Zaiga")</f>
        <v>Zaiga</v>
      </c>
      <c r="O110" s="13" t="b">
        <f t="shared" ca="1" si="3"/>
        <v>1</v>
      </c>
      <c r="Q110" s="8" t="str">
        <f ca="1">IFERROR(__xludf.DUMMYFUNCTION("""COMPUTED_VALUE"""),"Latvija")</f>
        <v>Latvija</v>
      </c>
      <c r="R110" s="13" t="b">
        <f t="shared" ca="1" si="4"/>
        <v>0</v>
      </c>
      <c r="T110" s="8" t="str">
        <f ca="1">IFERROR(__xludf.DUMMYFUNCTION("""COMPUTED_VALUE"""),"Sakari")</f>
        <v>Sakari</v>
      </c>
      <c r="U110" s="13" t="b">
        <f t="shared" ca="1" si="5"/>
        <v>0</v>
      </c>
      <c r="W110" s="8" t="str">
        <f ca="1">IFERROR(__xludf.DUMMYFUNCTION("""COMPUTED_VALUE"""),"Ietaupījumi veido jēgu")</f>
        <v>Ietaupījumi veido jēgu</v>
      </c>
      <c r="X110" s="13" t="b">
        <f t="shared" ca="1" si="6"/>
        <v>0</v>
      </c>
      <c r="Z110" s="8" t="str">
        <f ca="1">IFERROR(__xludf.DUMMYFUNCTION("""COMPUTED_VALUE"""),"Pieminekļi")</f>
        <v>Pieminekļi</v>
      </c>
      <c r="AA110" s="13" t="b">
        <f t="shared" ca="1" si="7"/>
        <v>0</v>
      </c>
      <c r="AC110" s="8" t="str">
        <f ca="1">IFERROR(__xludf.DUMMYFUNCTION("""COMPUTED_VALUE"""),"Salate")</f>
        <v>Salate</v>
      </c>
      <c r="AD110" s="13" t="b">
        <f t="shared" ca="1" si="8"/>
        <v>1</v>
      </c>
      <c r="AF110" s="8" t="str">
        <f ca="1">IFERROR(__xludf.DUMMYFUNCTION("""COMPUTED_VALUE"""),"Mosis")</f>
        <v>Mosis</v>
      </c>
      <c r="AG110" s="13" t="b">
        <f t="shared" ca="1" si="9"/>
        <v>0</v>
      </c>
      <c r="AI110" s="8" t="str">
        <f ca="1">IFERROR(__xludf.DUMMYFUNCTION("""COMPUTED_VALUE"""),"Dibināja")</f>
        <v>Dibināja</v>
      </c>
      <c r="AJ110" s="13" t="b">
        <f t="shared" ca="1" si="10"/>
        <v>0</v>
      </c>
      <c r="AK110" s="7" t="b">
        <v>1</v>
      </c>
      <c r="AL110" s="8" t="str">
        <f ca="1">IFERROR(__xludf.DUMMYFUNCTION("""COMPUTED_VALUE"""),"Nodaba")</f>
        <v>Nodaba</v>
      </c>
      <c r="AM110" s="13" t="b">
        <f t="shared" ca="1" si="11"/>
        <v>1</v>
      </c>
      <c r="AO110" s="8" t="b">
        <f ca="1">COUNTIF(Rezultāti!C:C,G110)&gt;0</f>
        <v>1</v>
      </c>
    </row>
    <row r="111" spans="2:41" x14ac:dyDescent="0.25">
      <c r="B111" s="8" t="str">
        <f>IF(C111="","",IF(COUNTIF(Rezultāti!C:C,C111)=0,"Labot",""))</f>
        <v/>
      </c>
      <c r="C111" s="2" t="s">
        <v>14</v>
      </c>
      <c r="D111" s="8">
        <f t="shared" ca="1" si="1"/>
        <v>7</v>
      </c>
      <c r="E111" s="12">
        <f ca="1">IFERROR(__xludf.DUMMYFUNCTION("""COMPUTED_VALUE"""),45603.5392149305)</f>
        <v>45603.539214930497</v>
      </c>
      <c r="F111" s="8" t="str">
        <f ca="1">IFERROR(__xludf.DUMMYFUNCTION("""COMPUTED_VALUE"""),"Rīgas 10. vidusskola")</f>
        <v>Rīgas 10. vidusskola</v>
      </c>
      <c r="G111" s="8" t="str">
        <f ca="1">IFERROR(__xludf.DUMMYFUNCTION("""COMPUTED_VALUE"""),"r10vs-12")</f>
        <v>r10vs-12</v>
      </c>
      <c r="H111" s="8" t="str">
        <f ca="1">IFERROR(__xludf.DUMMYFUNCTION("""COMPUTED_VALUE"""),"Deniss Vasiļjevs")</f>
        <v>Deniss Vasiļjevs</v>
      </c>
      <c r="I111" s="8" t="str">
        <f ca="1">IFERROR(__xludf.DUMMYFUNCTION("""COMPUTED_VALUE"""),"Maksims Koļesovs")</f>
        <v>Maksims Koļesovs</v>
      </c>
      <c r="J111" s="8" t="str">
        <f ca="1">IFERROR(__xludf.DUMMYFUNCTION("""COMPUTED_VALUE"""),"Niks Ivaškovskis")</f>
        <v>Niks Ivaškovskis</v>
      </c>
      <c r="K111" s="8" t="str">
        <f ca="1">IFERROR(__xludf.DUMMYFUNCTION("""COMPUTED_VALUE"""),"Svētā Katrīnas Vācu Baznīca")</f>
        <v>Svētā Katrīnas Vācu Baznīca</v>
      </c>
      <c r="L111" s="13" t="b">
        <f t="shared" ca="1" si="2"/>
        <v>0</v>
      </c>
      <c r="N111" s="8" t="str">
        <f ca="1">IFERROR(__xludf.DUMMYFUNCTION("""COMPUTED_VALUE"""),"Zaiga")</f>
        <v>Zaiga</v>
      </c>
      <c r="O111" s="13" t="b">
        <f t="shared" ca="1" si="3"/>
        <v>1</v>
      </c>
      <c r="Q111" s="8" t="str">
        <f ca="1">IFERROR(__xludf.DUMMYFUNCTION("""COMPUTED_VALUE"""),"Pilsoņi")</f>
        <v>Pilsoņi</v>
      </c>
      <c r="R111" s="13" t="b">
        <f t="shared" ca="1" si="4"/>
        <v>1</v>
      </c>
      <c r="T111" s="8" t="str">
        <f ca="1">IFERROR(__xludf.DUMMYFUNCTION("""COMPUTED_VALUE"""),"Komēta")</f>
        <v>Komēta</v>
      </c>
      <c r="U111" s="13" t="b">
        <f t="shared" ca="1" si="5"/>
        <v>0</v>
      </c>
      <c r="W111" s="8" t="str">
        <f ca="1">IFERROR(__xludf.DUMMYFUNCTION("""COMPUTED_VALUE"""),"Rokās")</f>
        <v>Rokās</v>
      </c>
      <c r="X111" s="13" t="b">
        <f t="shared" ca="1" si="6"/>
        <v>1</v>
      </c>
      <c r="Z111" s="8" t="str">
        <f ca="1">IFERROR(__xludf.DUMMYFUNCTION("""COMPUTED_VALUE"""),"Aizkraukle")</f>
        <v>Aizkraukle</v>
      </c>
      <c r="AA111" s="13" t="b">
        <f t="shared" ca="1" si="7"/>
        <v>0</v>
      </c>
      <c r="AC111" s="8" t="str">
        <f ca="1">IFERROR(__xludf.DUMMYFUNCTION("""COMPUTED_VALUE"""),"salate")</f>
        <v>salate</v>
      </c>
      <c r="AD111" s="13" t="b">
        <f t="shared" ca="1" si="8"/>
        <v>1</v>
      </c>
      <c r="AF111" s="8" t="str">
        <f ca="1">IFERROR(__xludf.DUMMYFUNCTION("""COMPUTED_VALUE"""),"miers")</f>
        <v>miers</v>
      </c>
      <c r="AG111" s="13" t="b">
        <f t="shared" ca="1" si="9"/>
        <v>1</v>
      </c>
      <c r="AI111" s="8" t="str">
        <f ca="1">IFERROR(__xludf.DUMMYFUNCTION("""COMPUTED_VALUE"""),"dibināta")</f>
        <v>dibināta</v>
      </c>
      <c r="AJ111" s="13" t="b">
        <f t="shared" ca="1" si="10"/>
        <v>1</v>
      </c>
      <c r="AL111" s="8" t="str">
        <f ca="1">IFERROR(__xludf.DUMMYFUNCTION("""COMPUTED_VALUE"""),"Nodaba")</f>
        <v>Nodaba</v>
      </c>
      <c r="AM111" s="13" t="b">
        <f t="shared" ca="1" si="11"/>
        <v>1</v>
      </c>
      <c r="AO111" s="8" t="b">
        <f ca="1">COUNTIF(Rezultāti!C:C,G111)&gt;0</f>
        <v>0</v>
      </c>
    </row>
    <row r="112" spans="2:41" x14ac:dyDescent="0.25">
      <c r="B112" s="8" t="str">
        <f ca="1">IF(C112="","",IF(COUNTIF(Rezultāti!C:C,C112)=0,"Labot",""))</f>
        <v/>
      </c>
      <c r="C112" s="8" t="str">
        <f t="shared" ref="C112:C113" ca="1" si="20">IF(COUNTIF(C113:C309,G112)=0,G112,"")</f>
        <v>Skill issue</v>
      </c>
      <c r="D112" s="8">
        <f t="shared" ca="1" si="1"/>
        <v>4</v>
      </c>
      <c r="E112" s="12">
        <f ca="1">IFERROR(__xludf.DUMMYFUNCTION("""COMPUTED_VALUE"""),45603.5392581712)</f>
        <v>45603.5392581712</v>
      </c>
      <c r="F112" s="8" t="str">
        <f ca="1">IFERROR(__xludf.DUMMYFUNCTION("""COMPUTED_VALUE"""),"Rīgas Valsts 2.ģimnāzija")</f>
        <v>Rīgas Valsts 2.ģimnāzija</v>
      </c>
      <c r="G112" s="8" t="str">
        <f ca="1">IFERROR(__xludf.DUMMYFUNCTION("""COMPUTED_VALUE"""),"Skill issue")</f>
        <v>Skill issue</v>
      </c>
      <c r="H112" s="8" t="str">
        <f ca="1">IFERROR(__xludf.DUMMYFUNCTION("""COMPUTED_VALUE"""),"Andris Rībens")</f>
        <v>Andris Rībens</v>
      </c>
      <c r="I112" s="8" t="str">
        <f ca="1">IFERROR(__xludf.DUMMYFUNCTION("""COMPUTED_VALUE"""),"Jānis Lācis")</f>
        <v>Jānis Lācis</v>
      </c>
      <c r="J112" s="8" t="str">
        <f ca="1">IFERROR(__xludf.DUMMYFUNCTION("""COMPUTED_VALUE"""),"Ralfs Vītols")</f>
        <v>Ralfs Vītols</v>
      </c>
      <c r="K112" s="8" t="str">
        <f ca="1">IFERROR(__xludf.DUMMYFUNCTION("""COMPUTED_VALUE"""),"Bastions")</f>
        <v>Bastions</v>
      </c>
      <c r="L112" s="13" t="b">
        <f t="shared" ca="1" si="2"/>
        <v>0</v>
      </c>
      <c r="N112" s="8" t="str">
        <f ca="1">IFERROR(__xludf.DUMMYFUNCTION("""COMPUTED_VALUE"""),"Evita")</f>
        <v>Evita</v>
      </c>
      <c r="O112" s="13" t="b">
        <f t="shared" ca="1" si="3"/>
        <v>0</v>
      </c>
      <c r="Q112" s="8" t="str">
        <f ca="1">IFERROR(__xludf.DUMMYFUNCTION("""COMPUTED_VALUE"""),"Mūžība")</f>
        <v>Mūžība</v>
      </c>
      <c r="R112" s="13" t="b">
        <f t="shared" ca="1" si="4"/>
        <v>0</v>
      </c>
      <c r="T112" s="8" t="str">
        <f ca="1">IFERROR(__xludf.DUMMYFUNCTION("""COMPUTED_VALUE"""),"Ciltis")</f>
        <v>Ciltis</v>
      </c>
      <c r="U112" s="13" t="b">
        <f t="shared" ca="1" si="5"/>
        <v>0</v>
      </c>
      <c r="W112" s="8" t="str">
        <f ca="1">IFERROR(__xludf.DUMMYFUNCTION("""COMPUTED_VALUE"""),"Rokās")</f>
        <v>Rokās</v>
      </c>
      <c r="X112" s="13" t="b">
        <f t="shared" ca="1" si="6"/>
        <v>1</v>
      </c>
      <c r="Z112" s="8" t="str">
        <f ca="1">IFERROR(__xludf.DUMMYFUNCTION("""COMPUTED_VALUE"""),"Saulkrasti")</f>
        <v>Saulkrasti</v>
      </c>
      <c r="AA112" s="13" t="b">
        <f t="shared" ca="1" si="7"/>
        <v>0</v>
      </c>
      <c r="AC112" s="8" t="str">
        <f ca="1">IFERROR(__xludf.DUMMYFUNCTION("""COMPUTED_VALUE"""),"Salate")</f>
        <v>Salate</v>
      </c>
      <c r="AD112" s="13" t="b">
        <f t="shared" ca="1" si="8"/>
        <v>1</v>
      </c>
      <c r="AF112" s="8" t="str">
        <f ca="1">IFERROR(__xludf.DUMMYFUNCTION("""COMPUTED_VALUE"""),"Lapas")</f>
        <v>Lapas</v>
      </c>
      <c r="AG112" s="13" t="b">
        <f t="shared" ca="1" si="9"/>
        <v>0</v>
      </c>
      <c r="AI112" s="8" t="str">
        <f ca="1">IFERROR(__xludf.DUMMYFUNCTION("""COMPUTED_VALUE"""),"Dibināta")</f>
        <v>Dibināta</v>
      </c>
      <c r="AJ112" s="13" t="b">
        <f t="shared" ca="1" si="10"/>
        <v>1</v>
      </c>
      <c r="AL112" s="8" t="str">
        <f ca="1">IFERROR(__xludf.DUMMYFUNCTION("""COMPUTED_VALUE"""),"Nodaba")</f>
        <v>Nodaba</v>
      </c>
      <c r="AM112" s="13" t="b">
        <f t="shared" ca="1" si="11"/>
        <v>1</v>
      </c>
      <c r="AO112" s="8" t="b">
        <f ca="1">COUNTIF(Rezultāti!C:C,G112)&gt;0</f>
        <v>1</v>
      </c>
    </row>
    <row r="113" spans="2:41" x14ac:dyDescent="0.25">
      <c r="B113" s="8" t="str">
        <f ca="1">IF(C113="","",IF(COUNTIF(Rezultāti!C:C,C113)=0,"Labot",""))</f>
        <v/>
      </c>
      <c r="C113" s="8" t="str">
        <f t="shared" ca="1" si="20"/>
        <v>Gudrības avoti</v>
      </c>
      <c r="D113" s="8">
        <f t="shared" ca="1" si="1"/>
        <v>5</v>
      </c>
      <c r="E113" s="12">
        <f ca="1">IFERROR(__xludf.DUMMYFUNCTION("""COMPUTED_VALUE"""),45603.5392632986)</f>
        <v>45603.539263298597</v>
      </c>
      <c r="F113" s="8" t="str">
        <f ca="1">IFERROR(__xludf.DUMMYFUNCTION("""COMPUTED_VALUE"""),"Rīgas Lietuviešu vidusskola")</f>
        <v>Rīgas Lietuviešu vidusskola</v>
      </c>
      <c r="G113" s="8" t="str">
        <f ca="1">IFERROR(__xludf.DUMMYFUNCTION("""COMPUTED_VALUE"""),"Gudrības avoti")</f>
        <v>Gudrības avoti</v>
      </c>
      <c r="H113" s="8" t="str">
        <f ca="1">IFERROR(__xludf.DUMMYFUNCTION("""COMPUTED_VALUE"""),"Rinalds Aprups")</f>
        <v>Rinalds Aprups</v>
      </c>
      <c r="I113" s="8" t="str">
        <f ca="1">IFERROR(__xludf.DUMMYFUNCTION("""COMPUTED_VALUE"""),"Atis Hermanis")</f>
        <v>Atis Hermanis</v>
      </c>
      <c r="J113" s="8" t="str">
        <f ca="1">IFERROR(__xludf.DUMMYFUNCTION("""COMPUTED_VALUE"""),"Valters Ragovskis")</f>
        <v>Valters Ragovskis</v>
      </c>
      <c r="K113" s="8" t="str">
        <f ca="1">IFERROR(__xludf.DUMMYFUNCTION("""COMPUTED_VALUE"""),"Rīgas centra daiļamatniecības pamatskola")</f>
        <v>Rīgas centra daiļamatniecības pamatskola</v>
      </c>
      <c r="L113" s="13" t="b">
        <f t="shared" ca="1" si="2"/>
        <v>0</v>
      </c>
      <c r="N113" s="8" t="str">
        <f ca="1">IFERROR(__xludf.DUMMYFUNCTION("""COMPUTED_VALUE"""),"Zaiga")</f>
        <v>Zaiga</v>
      </c>
      <c r="O113" s="13" t="b">
        <f t="shared" ca="1" si="3"/>
        <v>1</v>
      </c>
      <c r="Q113" s="8" t="str">
        <f ca="1">IFERROR(__xludf.DUMMYFUNCTION("""COMPUTED_VALUE"""),"Latvijā")</f>
        <v>Latvijā</v>
      </c>
      <c r="R113" s="13" t="b">
        <f t="shared" ca="1" si="4"/>
        <v>0</v>
      </c>
      <c r="T113" s="8" t="str">
        <f ca="1">IFERROR(__xludf.DUMMYFUNCTION("""COMPUTED_VALUE"""),"Tobāgo")</f>
        <v>Tobāgo</v>
      </c>
      <c r="U113" s="13" t="b">
        <f t="shared" ca="1" si="5"/>
        <v>1</v>
      </c>
      <c r="W113" s="8" t="str">
        <f ca="1">IFERROR(__xludf.DUMMYFUNCTION("""COMPUTED_VALUE"""),"Rokās")</f>
        <v>Rokās</v>
      </c>
      <c r="X113" s="13" t="b">
        <f t="shared" ca="1" si="6"/>
        <v>1</v>
      </c>
      <c r="Z113" s="8" t="str">
        <f ca="1">IFERROR(__xludf.DUMMYFUNCTION("""COMPUTED_VALUE"""),"Kuģniecība")</f>
        <v>Kuģniecība</v>
      </c>
      <c r="AA113" s="13" t="b">
        <f t="shared" ca="1" si="7"/>
        <v>0</v>
      </c>
      <c r="AC113" s="8" t="str">
        <f ca="1">IFERROR(__xludf.DUMMYFUNCTION("""COMPUTED_VALUE"""),"Līstes")</f>
        <v>Līstes</v>
      </c>
      <c r="AD113" s="13" t="b">
        <f t="shared" ca="1" si="8"/>
        <v>0</v>
      </c>
      <c r="AF113" s="8" t="str">
        <f ca="1">IFERROR(__xludf.DUMMYFUNCTION("""COMPUTED_VALUE"""),"Fedug")</f>
        <v>Fedug</v>
      </c>
      <c r="AG113" s="13" t="b">
        <f t="shared" ca="1" si="9"/>
        <v>0</v>
      </c>
      <c r="AI113" s="8" t="str">
        <f ca="1">IFERROR(__xludf.DUMMYFUNCTION("""COMPUTED_VALUE"""),"Dibināta")</f>
        <v>Dibināta</v>
      </c>
      <c r="AJ113" s="13" t="b">
        <f t="shared" ca="1" si="10"/>
        <v>1</v>
      </c>
      <c r="AL113" s="8" t="str">
        <f ca="1">IFERROR(__xludf.DUMMYFUNCTION("""COMPUTED_VALUE"""),"Nodaba")</f>
        <v>Nodaba</v>
      </c>
      <c r="AM113" s="13" t="b">
        <f t="shared" ca="1" si="11"/>
        <v>1</v>
      </c>
      <c r="AO113" s="8" t="b">
        <f ca="1">COUNTIF(Rezultāti!C:C,G113)&gt;0</f>
        <v>1</v>
      </c>
    </row>
    <row r="114" spans="2:41" x14ac:dyDescent="0.25">
      <c r="B114" s="8" t="str">
        <f>IF(C114="","",IF(COUNTIF(Rezultāti!C:C,C114)=0,"Labot",""))</f>
        <v/>
      </c>
      <c r="C114" s="2" t="s">
        <v>26</v>
      </c>
      <c r="D114" s="8">
        <f t="shared" ca="1" si="1"/>
        <v>6</v>
      </c>
      <c r="E114" s="12">
        <f ca="1">IFERROR(__xludf.DUMMYFUNCTION("""COMPUTED_VALUE"""),45603.5392849305)</f>
        <v>45603.539284930499</v>
      </c>
      <c r="F114" s="8" t="str">
        <f ca="1">IFERROR(__xludf.DUMMYFUNCTION("""COMPUTED_VALUE"""),"Rīgas Imantas vidusskola")</f>
        <v>Rīgas Imantas vidusskola</v>
      </c>
      <c r="G114" s="8" t="str">
        <f ca="1">IFERROR(__xludf.DUMMYFUNCTION("""COMPUTED_VALUE"""),"Betons49")</f>
        <v>Betons49</v>
      </c>
      <c r="H114" s="8" t="str">
        <f ca="1">IFERROR(__xludf.DUMMYFUNCTION("""COMPUTED_VALUE"""),"Ieva Baļule")</f>
        <v>Ieva Baļule</v>
      </c>
      <c r="I114" s="8" t="str">
        <f ca="1">IFERROR(__xludf.DUMMYFUNCTION("""COMPUTED_VALUE"""),"Kārlis Zemītis")</f>
        <v>Kārlis Zemītis</v>
      </c>
      <c r="J114" s="8" t="str">
        <f ca="1">IFERROR(__xludf.DUMMYFUNCTION("""COMPUTED_VALUE"""),"Dzintars Vilde")</f>
        <v>Dzintars Vilde</v>
      </c>
      <c r="K114" s="8" t="str">
        <f ca="1">IFERROR(__xludf.DUMMYFUNCTION("""COMPUTED_VALUE"""),"Brīvības piemineklis ")</f>
        <v xml:space="preserve">Brīvības piemineklis </v>
      </c>
      <c r="L114" s="13" t="b">
        <f t="shared" ca="1" si="2"/>
        <v>0</v>
      </c>
      <c r="N114" s="8" t="str">
        <f ca="1">IFERROR(__xludf.DUMMYFUNCTION("""COMPUTED_VALUE"""),"Zaiga")</f>
        <v>Zaiga</v>
      </c>
      <c r="O114" s="13" t="b">
        <f t="shared" ca="1" si="3"/>
        <v>1</v>
      </c>
      <c r="Q114" s="8" t="str">
        <f ca="1">IFERROR(__xludf.DUMMYFUNCTION("""COMPUTED_VALUE"""),"Piemiņa")</f>
        <v>Piemiņa</v>
      </c>
      <c r="R114" s="13" t="b">
        <f t="shared" ca="1" si="4"/>
        <v>0</v>
      </c>
      <c r="T114" s="8" t="str">
        <f ca="1">IFERROR(__xludf.DUMMYFUNCTION("""COMPUTED_VALUE"""),"Ārzeme")</f>
        <v>Ārzeme</v>
      </c>
      <c r="U114" s="13" t="b">
        <f t="shared" ca="1" si="5"/>
        <v>0</v>
      </c>
      <c r="W114" s="8" t="str">
        <f ca="1">IFERROR(__xludf.DUMMYFUNCTION("""COMPUTED_VALUE"""),"Rokās")</f>
        <v>Rokās</v>
      </c>
      <c r="X114" s="13" t="b">
        <f t="shared" ca="1" si="6"/>
        <v>1</v>
      </c>
      <c r="Z114" s="8" t="str">
        <f ca="1">IFERROR(__xludf.DUMMYFUNCTION("""COMPUTED_VALUE"""),"Saulkrasti")</f>
        <v>Saulkrasti</v>
      </c>
      <c r="AA114" s="13" t="b">
        <f t="shared" ca="1" si="7"/>
        <v>0</v>
      </c>
      <c r="AC114" s="8" t="str">
        <f ca="1">IFERROR(__xludf.DUMMYFUNCTION("""COMPUTED_VALUE"""),"Salate")</f>
        <v>Salate</v>
      </c>
      <c r="AD114" s="13" t="b">
        <f t="shared" ca="1" si="8"/>
        <v>1</v>
      </c>
      <c r="AF114" s="8" t="str">
        <f ca="1">IFERROR(__xludf.DUMMYFUNCTION("""COMPUTED_VALUE"""),"Miers")</f>
        <v>Miers</v>
      </c>
      <c r="AG114" s="13" t="b">
        <f t="shared" ca="1" si="9"/>
        <v>1</v>
      </c>
      <c r="AI114" s="8" t="str">
        <f ca="1">IFERROR(__xludf.DUMMYFUNCTION("""COMPUTED_VALUE"""),"Dibināta ")</f>
        <v xml:space="preserve">Dibināta </v>
      </c>
      <c r="AJ114" s="13" t="b">
        <f t="shared" ca="1" si="10"/>
        <v>0</v>
      </c>
      <c r="AK114" s="7" t="b">
        <v>1</v>
      </c>
      <c r="AL114" s="8" t="str">
        <f ca="1">IFERROR(__xludf.DUMMYFUNCTION("""COMPUTED_VALUE"""),"Nodaba")</f>
        <v>Nodaba</v>
      </c>
      <c r="AM114" s="13" t="b">
        <f t="shared" ca="1" si="11"/>
        <v>1</v>
      </c>
      <c r="AO114" s="8" t="b">
        <f ca="1">COUNTIF(Rezultāti!C:C,G114)&gt;0</f>
        <v>0</v>
      </c>
    </row>
    <row r="115" spans="2:41" x14ac:dyDescent="0.25">
      <c r="B115" s="8" t="str">
        <f ca="1">IF(C115="","",IF(COUNTIF(Rezultāti!C:C,C115)=0,"Labot",""))</f>
        <v/>
      </c>
      <c r="C115" s="8" t="str">
        <f t="shared" ref="C115:C116" ca="1" si="21">IF(COUNTIF(C116:C312,G115)=0,G115,"")</f>
        <v>Prāta negaiss</v>
      </c>
      <c r="D115" s="8">
        <f t="shared" ca="1" si="1"/>
        <v>2</v>
      </c>
      <c r="E115" s="12">
        <f ca="1">IFERROR(__xludf.DUMMYFUNCTION("""COMPUTED_VALUE"""),45603.5393320023)</f>
        <v>45603.539332002299</v>
      </c>
      <c r="F115" s="8" t="str">
        <f ca="1">IFERROR(__xludf.DUMMYFUNCTION("""COMPUTED_VALUE"""),"Rīgas Ziemeļu ğimnazija")</f>
        <v>Rīgas Ziemeļu ğimnazija</v>
      </c>
      <c r="G115" s="8" t="str">
        <f ca="1">IFERROR(__xludf.DUMMYFUNCTION("""COMPUTED_VALUE"""),"Prāta negaiss")</f>
        <v>Prāta negaiss</v>
      </c>
      <c r="H115" s="8" t="str">
        <f ca="1">IFERROR(__xludf.DUMMYFUNCTION("""COMPUTED_VALUE"""),"Kristers Beņislavkis ")</f>
        <v xml:space="preserve">Kristers Beņislavkis </v>
      </c>
      <c r="I115" s="8" t="str">
        <f ca="1">IFERROR(__xludf.DUMMYFUNCTION("""COMPUTED_VALUE"""),"Regnārs Kalniņš ")</f>
        <v xml:space="preserve">Regnārs Kalniņš </v>
      </c>
      <c r="J115" s="8" t="str">
        <f ca="1">IFERROR(__xludf.DUMMYFUNCTION("""COMPUTED_VALUE"""),"Jānis Zariņš")</f>
        <v>Jānis Zariņš</v>
      </c>
      <c r="K115" s="8" t="str">
        <f ca="1">IFERROR(__xludf.DUMMYFUNCTION("""COMPUTED_VALUE"""),"Pils")</f>
        <v>Pils</v>
      </c>
      <c r="L115" s="13" t="b">
        <f t="shared" ca="1" si="2"/>
        <v>0</v>
      </c>
      <c r="N115" s="8" t="str">
        <f ca="1">IFERROR(__xludf.DUMMYFUNCTION("""COMPUTED_VALUE"""),"Evita")</f>
        <v>Evita</v>
      </c>
      <c r="O115" s="13" t="b">
        <f t="shared" ca="1" si="3"/>
        <v>0</v>
      </c>
      <c r="Q115" s="8" t="str">
        <f ca="1">IFERROR(__xludf.DUMMYFUNCTION("""COMPUTED_VALUE"""),"Brīviba")</f>
        <v>Brīviba</v>
      </c>
      <c r="R115" s="13" t="b">
        <f t="shared" ca="1" si="4"/>
        <v>0</v>
      </c>
      <c r="T115" s="8" t="str">
        <f ca="1">IFERROR(__xludf.DUMMYFUNCTION("""COMPUTED_VALUE"""),"saikne")</f>
        <v>saikne</v>
      </c>
      <c r="U115" s="13" t="b">
        <f t="shared" ca="1" si="5"/>
        <v>0</v>
      </c>
      <c r="W115" s="8" t="str">
        <f ca="1">IFERROR(__xludf.DUMMYFUNCTION("""COMPUTED_VALUE"""),"Rokās")</f>
        <v>Rokās</v>
      </c>
      <c r="X115" s="13" t="b">
        <f t="shared" ca="1" si="6"/>
        <v>1</v>
      </c>
      <c r="Z115" s="8"/>
      <c r="AA115" s="13" t="b">
        <f t="shared" si="7"/>
        <v>0</v>
      </c>
      <c r="AC115" s="8" t="str">
        <f ca="1">IFERROR(__xludf.DUMMYFUNCTION("""COMPUTED_VALUE"""),"Līdaka")</f>
        <v>Līdaka</v>
      </c>
      <c r="AD115" s="13" t="b">
        <f t="shared" ca="1" si="8"/>
        <v>0</v>
      </c>
      <c r="AF115" s="8" t="str">
        <f ca="1">IFERROR(__xludf.DUMMYFUNCTION("""COMPUTED_VALUE"""),"Migla")</f>
        <v>Migla</v>
      </c>
      <c r="AG115" s="13" t="b">
        <f t="shared" ca="1" si="9"/>
        <v>0</v>
      </c>
      <c r="AI115" s="8" t="str">
        <f ca="1">IFERROR(__xludf.DUMMYFUNCTION("""COMPUTED_VALUE"""),"Reformas")</f>
        <v>Reformas</v>
      </c>
      <c r="AJ115" s="13" t="b">
        <f t="shared" ca="1" si="10"/>
        <v>0</v>
      </c>
      <c r="AL115" s="8" t="str">
        <f ca="1">IFERROR(__xludf.DUMMYFUNCTION("""COMPUTED_VALUE"""),"Nodaba")</f>
        <v>Nodaba</v>
      </c>
      <c r="AM115" s="13" t="b">
        <f t="shared" ca="1" si="11"/>
        <v>1</v>
      </c>
      <c r="AO115" s="8" t="b">
        <f ca="1">COUNTIF(Rezultāti!C:C,G115)&gt;0</f>
        <v>1</v>
      </c>
    </row>
    <row r="116" spans="2:41" x14ac:dyDescent="0.25">
      <c r="B116" s="8" t="str">
        <f ca="1">IF(C116="","",IF(COUNTIF(Rezultāti!C:C,C116)=0,"Labot",""))</f>
        <v/>
      </c>
      <c r="C116" s="8" t="str">
        <f t="shared" ca="1" si="21"/>
        <v>Loģiskie cālīši</v>
      </c>
      <c r="D116" s="8">
        <f t="shared" ca="1" si="1"/>
        <v>5</v>
      </c>
      <c r="E116" s="12">
        <f ca="1">IFERROR(__xludf.DUMMYFUNCTION("""COMPUTED_VALUE"""),45603.5393566087)</f>
        <v>45603.5393566087</v>
      </c>
      <c r="F116" s="8" t="str">
        <f ca="1">IFERROR(__xludf.DUMMYFUNCTION("""COMPUTED_VALUE"""),"Rīgas 6. vidusskola")</f>
        <v>Rīgas 6. vidusskola</v>
      </c>
      <c r="G116" s="8" t="str">
        <f ca="1">IFERROR(__xludf.DUMMYFUNCTION("""COMPUTED_VALUE"""),"Loģiskie cālīši")</f>
        <v>Loģiskie cālīši</v>
      </c>
      <c r="H116" s="8" t="str">
        <f ca="1">IFERROR(__xludf.DUMMYFUNCTION("""COMPUTED_VALUE"""),"Kristiāns Briška")</f>
        <v>Kristiāns Briška</v>
      </c>
      <c r="I116" s="8" t="str">
        <f ca="1">IFERROR(__xludf.DUMMYFUNCTION("""COMPUTED_VALUE"""),"Daniels Skulte")</f>
        <v>Daniels Skulte</v>
      </c>
      <c r="J116" s="8" t="str">
        <f ca="1">IFERROR(__xludf.DUMMYFUNCTION("""COMPUTED_VALUE"""),"Marta Lapiņa")</f>
        <v>Marta Lapiņa</v>
      </c>
      <c r="K116" s="8" t="str">
        <f ca="1">IFERROR(__xludf.DUMMYFUNCTION("""COMPUTED_VALUE"""),"Doms")</f>
        <v>Doms</v>
      </c>
      <c r="L116" s="13" t="b">
        <f t="shared" ca="1" si="2"/>
        <v>1</v>
      </c>
      <c r="N116" s="8" t="str">
        <f ca="1">IFERROR(__xludf.DUMMYFUNCTION("""COMPUTED_VALUE"""),"Zaiga")</f>
        <v>Zaiga</v>
      </c>
      <c r="O116" s="13" t="b">
        <f t="shared" ca="1" si="3"/>
        <v>1</v>
      </c>
      <c r="Q116" s="8" t="str">
        <f ca="1">IFERROR(__xludf.DUMMYFUNCTION("""COMPUTED_VALUE"""),"Latvija")</f>
        <v>Latvija</v>
      </c>
      <c r="R116" s="13" t="b">
        <f t="shared" ca="1" si="4"/>
        <v>0</v>
      </c>
      <c r="T116" s="8" t="str">
        <f ca="1">IFERROR(__xludf.DUMMYFUNCTION("""COMPUTED_VALUE"""),"Lojāls ")</f>
        <v xml:space="preserve">Lojāls </v>
      </c>
      <c r="U116" s="13" t="b">
        <f t="shared" ca="1" si="5"/>
        <v>0</v>
      </c>
      <c r="W116" s="8" t="str">
        <f ca="1">IFERROR(__xludf.DUMMYFUNCTION("""COMPUTED_VALUE"""),"Luminor pavisam neliela ir maiņa")</f>
        <v>Luminor pavisam neliela ir maiņa</v>
      </c>
      <c r="X116" s="13" t="b">
        <f t="shared" ca="1" si="6"/>
        <v>0</v>
      </c>
      <c r="Z116" s="8" t="str">
        <f ca="1">IFERROR(__xludf.DUMMYFUNCTION("""COMPUTED_VALUE"""),"Saulkrasti")</f>
        <v>Saulkrasti</v>
      </c>
      <c r="AA116" s="13" t="b">
        <f t="shared" ca="1" si="7"/>
        <v>0</v>
      </c>
      <c r="AC116" s="8" t="str">
        <f ca="1">IFERROR(__xludf.DUMMYFUNCTION("""COMPUTED_VALUE"""),"Salate")</f>
        <v>Salate</v>
      </c>
      <c r="AD116" s="13" t="b">
        <f t="shared" ca="1" si="8"/>
        <v>1</v>
      </c>
      <c r="AF116" s="8" t="str">
        <f ca="1">IFERROR(__xludf.DUMMYFUNCTION("""COMPUTED_VALUE"""),"Lampa")</f>
        <v>Lampa</v>
      </c>
      <c r="AG116" s="13" t="b">
        <f t="shared" ca="1" si="9"/>
        <v>0</v>
      </c>
      <c r="AI116" s="8" t="str">
        <f ca="1">IFERROR(__xludf.DUMMYFUNCTION("""COMPUTED_VALUE"""),"Dibināja")</f>
        <v>Dibināja</v>
      </c>
      <c r="AJ116" s="13" t="b">
        <f t="shared" ca="1" si="10"/>
        <v>0</v>
      </c>
      <c r="AK116" s="7" t="b">
        <v>1</v>
      </c>
      <c r="AL116" s="8" t="str">
        <f ca="1">IFERROR(__xludf.DUMMYFUNCTION("""COMPUTED_VALUE"""),"Nodaba")</f>
        <v>Nodaba</v>
      </c>
      <c r="AM116" s="13" t="b">
        <f t="shared" ca="1" si="11"/>
        <v>1</v>
      </c>
      <c r="AO116" s="8" t="b">
        <f ca="1">COUNTIF(Rezultāti!C:C,G116)&gt;0</f>
        <v>1</v>
      </c>
    </row>
    <row r="117" spans="2:41" x14ac:dyDescent="0.25">
      <c r="B117" s="8" t="str">
        <f>IF(C117="","",IF(COUNTIF(Rezultāti!C:C,C117)=0,"Labot",""))</f>
        <v/>
      </c>
      <c r="C117" s="2" t="s">
        <v>91</v>
      </c>
      <c r="D117" s="8">
        <f t="shared" ca="1" si="1"/>
        <v>4</v>
      </c>
      <c r="E117" s="12">
        <f ca="1">IFERROR(__xludf.DUMMYFUNCTION("""COMPUTED_VALUE"""),45603.5393710995)</f>
        <v>45603.539371099498</v>
      </c>
      <c r="F117" s="8" t="str">
        <f ca="1">IFERROR(__xludf.DUMMYFUNCTION("""COMPUTED_VALUE"""),"Rīgas 49. vidusskola")</f>
        <v>Rīgas 49. vidusskola</v>
      </c>
      <c r="G117" s="8" t="str">
        <f ca="1">IFERROR(__xludf.DUMMYFUNCTION("""COMPUTED_VALUE"""),"Vīri melnā")</f>
        <v>Vīri melnā</v>
      </c>
      <c r="H117" s="8" t="str">
        <f ca="1">IFERROR(__xludf.DUMMYFUNCTION("""COMPUTED_VALUE"""),"Kristaps Paķis")</f>
        <v>Kristaps Paķis</v>
      </c>
      <c r="I117" s="8" t="str">
        <f ca="1">IFERROR(__xludf.DUMMYFUNCTION("""COMPUTED_VALUE"""),"Ronalds Loļa")</f>
        <v>Ronalds Loļa</v>
      </c>
      <c r="J117" s="8" t="str">
        <f ca="1">IFERROR(__xludf.DUMMYFUNCTION("""COMPUTED_VALUE"""),"Ričards Jānis Liepiņš")</f>
        <v>Ričards Jānis Liepiņš</v>
      </c>
      <c r="K117" s="8"/>
      <c r="L117" s="13" t="b">
        <f t="shared" si="2"/>
        <v>0</v>
      </c>
      <c r="N117" s="8" t="str">
        <f ca="1">IFERROR(__xludf.DUMMYFUNCTION("""COMPUTED_VALUE"""),"Zaiga")</f>
        <v>Zaiga</v>
      </c>
      <c r="O117" s="13" t="b">
        <f t="shared" ca="1" si="3"/>
        <v>1</v>
      </c>
      <c r="Q117" s="8"/>
      <c r="R117" s="13" t="b">
        <f t="shared" si="4"/>
        <v>0</v>
      </c>
      <c r="T117" s="8" t="str">
        <f ca="1">IFERROR(__xludf.DUMMYFUNCTION("""COMPUTED_VALUE"""),"Tobago")</f>
        <v>Tobago</v>
      </c>
      <c r="U117" s="13" t="b">
        <f t="shared" ca="1" si="5"/>
        <v>0</v>
      </c>
      <c r="W117" s="8" t="str">
        <f ca="1">IFERROR(__xludf.DUMMYFUNCTION("""COMPUTED_VALUE"""),"Rokās")</f>
        <v>Rokās</v>
      </c>
      <c r="X117" s="13" t="b">
        <f t="shared" ca="1" si="6"/>
        <v>1</v>
      </c>
      <c r="Z117" s="8" t="str">
        <f ca="1">IFERROR(__xludf.DUMMYFUNCTION("""COMPUTED_VALUE"""),"Saulkrasti")</f>
        <v>Saulkrasti</v>
      </c>
      <c r="AA117" s="13" t="b">
        <f t="shared" ca="1" si="7"/>
        <v>0</v>
      </c>
      <c r="AC117" s="8" t="str">
        <f ca="1">IFERROR(__xludf.DUMMYFUNCTION("""COMPUTED_VALUE"""),"Salate")</f>
        <v>Salate</v>
      </c>
      <c r="AD117" s="13" t="b">
        <f t="shared" ca="1" si="8"/>
        <v>1</v>
      </c>
      <c r="AF117" s="8"/>
      <c r="AG117" s="13" t="b">
        <f t="shared" si="9"/>
        <v>0</v>
      </c>
      <c r="AI117" s="8" t="str">
        <f ca="1">IFERROR(__xludf.DUMMYFUNCTION("""COMPUTED_VALUE"""),"Apstājās")</f>
        <v>Apstājās</v>
      </c>
      <c r="AJ117" s="13" t="b">
        <f t="shared" ca="1" si="10"/>
        <v>0</v>
      </c>
      <c r="AL117" s="8" t="str">
        <f ca="1">IFERROR(__xludf.DUMMYFUNCTION("""COMPUTED_VALUE"""),"Nodaba")</f>
        <v>Nodaba</v>
      </c>
      <c r="AM117" s="13" t="b">
        <f t="shared" ca="1" si="11"/>
        <v>1</v>
      </c>
      <c r="AO117" s="8" t="b">
        <f ca="1">COUNTIF(Rezultāti!C:C,G117)&gt;0</f>
        <v>0</v>
      </c>
    </row>
    <row r="118" spans="2:41" x14ac:dyDescent="0.25">
      <c r="B118" s="8" t="str">
        <f ca="1">IF(C118="","",IF(COUNTIF(Rezultāti!C:C,C118)=0,"Labot",""))</f>
        <v/>
      </c>
      <c r="C118" s="8" t="str">
        <f ca="1">IF(COUNTIF(C119:C315,G118)=0,G118,"")</f>
        <v>Razbainieki</v>
      </c>
      <c r="D118" s="8">
        <f t="shared" ca="1" si="1"/>
        <v>3</v>
      </c>
      <c r="E118" s="12">
        <f ca="1">IFERROR(__xludf.DUMMYFUNCTION("""COMPUTED_VALUE"""),45603.5393818055)</f>
        <v>45603.539381805502</v>
      </c>
      <c r="F118" s="8" t="str">
        <f ca="1">IFERROR(__xludf.DUMMYFUNCTION("""COMPUTED_VALUE"""),"Rīgas Ziemeļvalstu Ģimnāzija")</f>
        <v>Rīgas Ziemeļvalstu Ģimnāzija</v>
      </c>
      <c r="G118" s="8" t="str">
        <f ca="1">IFERROR(__xludf.DUMMYFUNCTION("""COMPUTED_VALUE"""),"Razbainieki")</f>
        <v>Razbainieki</v>
      </c>
      <c r="H118" s="8" t="str">
        <f ca="1">IFERROR(__xludf.DUMMYFUNCTION("""COMPUTED_VALUE"""),"Fēlikss Zariņš")</f>
        <v>Fēlikss Zariņš</v>
      </c>
      <c r="I118" s="8" t="str">
        <f ca="1">IFERROR(__xludf.DUMMYFUNCTION("""COMPUTED_VALUE"""),"Unda Aivija Zilbere")</f>
        <v>Unda Aivija Zilbere</v>
      </c>
      <c r="J118" s="8" t="str">
        <f ca="1">IFERROR(__xludf.DUMMYFUNCTION("""COMPUTED_VALUE"""),"Artūrs Veselovs")</f>
        <v>Artūrs Veselovs</v>
      </c>
      <c r="K118" s="8" t="str">
        <f ca="1">IFERROR(__xludf.DUMMYFUNCTION("""COMPUTED_VALUE"""),"Svētā Kņaza Vladimira Baznīca")</f>
        <v>Svētā Kņaza Vladimira Baznīca</v>
      </c>
      <c r="L118" s="13" t="b">
        <f t="shared" ca="1" si="2"/>
        <v>0</v>
      </c>
      <c r="N118" s="8" t="str">
        <f ca="1">IFERROR(__xludf.DUMMYFUNCTION("""COMPUTED_VALUE"""),"Inita")</f>
        <v>Inita</v>
      </c>
      <c r="O118" s="13" t="b">
        <f t="shared" ca="1" si="3"/>
        <v>0</v>
      </c>
      <c r="Q118" s="8" t="str">
        <f ca="1">IFERROR(__xludf.DUMMYFUNCTION("""COMPUTED_VALUE"""),"Vidzemē")</f>
        <v>Vidzemē</v>
      </c>
      <c r="R118" s="13" t="b">
        <f t="shared" ca="1" si="4"/>
        <v>0</v>
      </c>
      <c r="T118" s="8" t="str">
        <f ca="1">IFERROR(__xludf.DUMMYFUNCTION("""COMPUTED_VALUE"""),"Ērglis")</f>
        <v>Ērglis</v>
      </c>
      <c r="U118" s="13" t="b">
        <f t="shared" ca="1" si="5"/>
        <v>0</v>
      </c>
      <c r="W118" s="8" t="str">
        <f ca="1">IFERROR(__xludf.DUMMYFUNCTION("""COMPUTED_VALUE"""),"Dzīve")</f>
        <v>Dzīve</v>
      </c>
      <c r="X118" s="13" t="b">
        <f t="shared" ca="1" si="6"/>
        <v>0</v>
      </c>
      <c r="Z118" s="8" t="str">
        <f ca="1">IFERROR(__xludf.DUMMYFUNCTION("""COMPUTED_VALUE"""),"Pilsētvide")</f>
        <v>Pilsētvide</v>
      </c>
      <c r="AA118" s="13" t="b">
        <f t="shared" ca="1" si="7"/>
        <v>0</v>
      </c>
      <c r="AC118" s="8" t="str">
        <f ca="1">IFERROR(__xludf.DUMMYFUNCTION("""COMPUTED_VALUE"""),"Salate")</f>
        <v>Salate</v>
      </c>
      <c r="AD118" s="13" t="b">
        <f t="shared" ca="1" si="8"/>
        <v>1</v>
      </c>
      <c r="AF118" s="8" t="str">
        <f ca="1">IFERROR(__xludf.DUMMYFUNCTION("""COMPUTED_VALUE"""),"Tētis")</f>
        <v>Tētis</v>
      </c>
      <c r="AG118" s="13" t="b">
        <f t="shared" ca="1" si="9"/>
        <v>0</v>
      </c>
      <c r="AI118" s="8" t="str">
        <f ca="1">IFERROR(__xludf.DUMMYFUNCTION("""COMPUTED_VALUE"""),"Dibināja")</f>
        <v>Dibināja</v>
      </c>
      <c r="AJ118" s="13" t="b">
        <f t="shared" ca="1" si="10"/>
        <v>0</v>
      </c>
      <c r="AK118" s="7" t="b">
        <v>1</v>
      </c>
      <c r="AL118" s="8" t="str">
        <f ca="1">IFERROR(__xludf.DUMMYFUNCTION("""COMPUTED_VALUE"""),"Nodaba")</f>
        <v>Nodaba</v>
      </c>
      <c r="AM118" s="13" t="b">
        <f t="shared" ca="1" si="11"/>
        <v>1</v>
      </c>
      <c r="AO118" s="8" t="b">
        <f ca="1">COUNTIF(Rezultāti!C:C,G118)&gt;0</f>
        <v>1</v>
      </c>
    </row>
    <row r="119" spans="2:41" x14ac:dyDescent="0.25">
      <c r="B119" s="8" t="str">
        <f>IF(C119="","",IF(COUNTIF(Rezultāti!C:C,C119)=0,"Labot",""))</f>
        <v/>
      </c>
      <c r="C119" s="2" t="s">
        <v>129</v>
      </c>
      <c r="D119" s="8">
        <f t="shared" ca="1" si="1"/>
        <v>1</v>
      </c>
      <c r="E119" s="12">
        <f ca="1">IFERROR(__xludf.DUMMYFUNCTION("""COMPUTED_VALUE"""),45603.5393921875)</f>
        <v>45603.5393921875</v>
      </c>
      <c r="F119" s="8" t="str">
        <f ca="1">IFERROR(__xludf.DUMMYFUNCTION("""COMPUTED_VALUE"""),"Rīgas 34. vidusskola")</f>
        <v>Rīgas 34. vidusskola</v>
      </c>
      <c r="G119" s="8" t="str">
        <f ca="1">IFERROR(__xludf.DUMMYFUNCTION("""COMPUTED_VALUE"""),"Inside out")</f>
        <v>Inside out</v>
      </c>
      <c r="H119" s="8" t="str">
        <f ca="1">IFERROR(__xludf.DUMMYFUNCTION("""COMPUTED_VALUE"""),"Boiko")</f>
        <v>Boiko</v>
      </c>
      <c r="I119" s="8" t="str">
        <f ca="1">IFERROR(__xludf.DUMMYFUNCTION("""COMPUTED_VALUE"""),"Gricevska")</f>
        <v>Gricevska</v>
      </c>
      <c r="J119" s="8" t="str">
        <f ca="1">IFERROR(__xludf.DUMMYFUNCTION("""COMPUTED_VALUE"""),"Geraščenko")</f>
        <v>Geraščenko</v>
      </c>
      <c r="K119" s="8" t="str">
        <f ca="1">IFERROR(__xludf.DUMMYFUNCTION("""COMPUTED_VALUE"""),"Svētā Pētera baznīca")</f>
        <v>Svētā Pētera baznīca</v>
      </c>
      <c r="L119" s="13" t="b">
        <f t="shared" ca="1" si="2"/>
        <v>0</v>
      </c>
      <c r="N119" s="8" t="str">
        <f ca="1">IFERROR(__xludf.DUMMYFUNCTION("""COMPUTED_VALUE"""),"Zaiga")</f>
        <v>Zaiga</v>
      </c>
      <c r="O119" s="13" t="b">
        <f t="shared" ca="1" si="3"/>
        <v>1</v>
      </c>
      <c r="Q119" s="8"/>
      <c r="R119" s="13" t="b">
        <f t="shared" si="4"/>
        <v>0</v>
      </c>
      <c r="T119" s="8"/>
      <c r="U119" s="13" t="b">
        <f t="shared" si="5"/>
        <v>0</v>
      </c>
      <c r="W119" s="8"/>
      <c r="X119" s="13" t="b">
        <f t="shared" si="6"/>
        <v>0</v>
      </c>
      <c r="Z119" s="8" t="str">
        <f ca="1">IFERROR(__xludf.DUMMYFUNCTION("""COMPUTED_VALUE"""),"ūdenstilps")</f>
        <v>ūdenstilps</v>
      </c>
      <c r="AA119" s="13" t="b">
        <f t="shared" ca="1" si="7"/>
        <v>0</v>
      </c>
      <c r="AC119" s="8" t="str">
        <f ca="1">IFERROR(__xludf.DUMMYFUNCTION("""COMPUTED_VALUE"""),"slapes ")</f>
        <v xml:space="preserve">slapes </v>
      </c>
      <c r="AD119" s="13" t="b">
        <f t="shared" ca="1" si="8"/>
        <v>0</v>
      </c>
      <c r="AF119" s="8"/>
      <c r="AG119" s="13" t="b">
        <f t="shared" si="9"/>
        <v>0</v>
      </c>
      <c r="AI119" s="8" t="str">
        <f ca="1">IFERROR(__xludf.DUMMYFUNCTION("""COMPUTED_VALUE"""),"pārmaiņa ")</f>
        <v xml:space="preserve">pārmaiņa </v>
      </c>
      <c r="AJ119" s="13" t="b">
        <f t="shared" ca="1" si="10"/>
        <v>0</v>
      </c>
      <c r="AL119" s="8" t="str">
        <f ca="1">IFERROR(__xludf.DUMMYFUNCTION("""COMPUTED_VALUE"""),"Vācijā")</f>
        <v>Vācijā</v>
      </c>
      <c r="AM119" s="13" t="b">
        <f t="shared" ca="1" si="11"/>
        <v>0</v>
      </c>
      <c r="AO119" s="8" t="b">
        <f ca="1">COUNTIF(Rezultāti!C:C,G119)&gt;0</f>
        <v>0</v>
      </c>
    </row>
    <row r="120" spans="2:41" x14ac:dyDescent="0.25">
      <c r="B120" s="8" t="str">
        <f ca="1">IF(C120="","",IF(COUNTIF(Rezultāti!C:C,C120)=0,"Labot",""))</f>
        <v/>
      </c>
      <c r="C120" s="8" t="str">
        <f t="shared" ref="C120:C122" ca="1" si="22">IF(COUNTIF(C121:C317,G120)=0,G120,"")</f>
        <v>Maskačkas puzlētāji 1</v>
      </c>
      <c r="D120" s="8">
        <f t="shared" ca="1" si="1"/>
        <v>4</v>
      </c>
      <c r="E120" s="12">
        <f ca="1">IFERROR(__xludf.DUMMYFUNCTION("""COMPUTED_VALUE"""),45603.5394036805)</f>
        <v>45603.539403680501</v>
      </c>
      <c r="F120" s="8" t="str">
        <f ca="1">IFERROR(__xludf.DUMMYFUNCTION("""COMPUTED_VALUE"""),"Rīgas Angļu ģimnāzija")</f>
        <v>Rīgas Angļu ģimnāzija</v>
      </c>
      <c r="G120" s="8" t="str">
        <f ca="1">IFERROR(__xludf.DUMMYFUNCTION("""COMPUTED_VALUE"""),"Maskačkas puzlētāji 1")</f>
        <v>Maskačkas puzlētāji 1</v>
      </c>
      <c r="H120" s="8" t="str">
        <f ca="1">IFERROR(__xludf.DUMMYFUNCTION("""COMPUTED_VALUE"""),"Renāts Strods")</f>
        <v>Renāts Strods</v>
      </c>
      <c r="I120" s="8" t="str">
        <f ca="1">IFERROR(__xludf.DUMMYFUNCTION("""COMPUTED_VALUE"""),"Linards Lazdiņš")</f>
        <v>Linards Lazdiņš</v>
      </c>
      <c r="J120" s="8" t="str">
        <f ca="1">IFERROR(__xludf.DUMMYFUNCTION("""COMPUTED_VALUE"""),"nav")</f>
        <v>nav</v>
      </c>
      <c r="K120" s="8" t="str">
        <f ca="1">IFERROR(__xludf.DUMMYFUNCTION("""COMPUTED_VALUE"""),"Rīgas Latviešu biedrības nams")</f>
        <v>Rīgas Latviešu biedrības nams</v>
      </c>
      <c r="L120" s="13" t="b">
        <f t="shared" ca="1" si="2"/>
        <v>0</v>
      </c>
      <c r="N120" s="8" t="str">
        <f ca="1">IFERROR(__xludf.DUMMYFUNCTION("""COMPUTED_VALUE"""),"Zaiga")</f>
        <v>Zaiga</v>
      </c>
      <c r="O120" s="13" t="b">
        <f t="shared" ca="1" si="3"/>
        <v>1</v>
      </c>
      <c r="Q120" s="8" t="str">
        <f ca="1">IFERROR(__xludf.DUMMYFUNCTION("""COMPUTED_VALUE"""),"Būlvārī")</f>
        <v>Būlvārī</v>
      </c>
      <c r="R120" s="13" t="b">
        <f t="shared" ca="1" si="4"/>
        <v>0</v>
      </c>
      <c r="T120" s="8" t="str">
        <f ca="1">IFERROR(__xludf.DUMMYFUNCTION("""COMPUTED_VALUE"""),"Veicas")</f>
        <v>Veicas</v>
      </c>
      <c r="U120" s="13" t="b">
        <f t="shared" ca="1" si="5"/>
        <v>0</v>
      </c>
      <c r="W120" s="8" t="str">
        <f ca="1">IFERROR(__xludf.DUMMYFUNCTION("""COMPUTED_VALUE"""),"Rokās")</f>
        <v>Rokās</v>
      </c>
      <c r="X120" s="13" t="b">
        <f t="shared" ca="1" si="6"/>
        <v>1</v>
      </c>
      <c r="Z120" s="8" t="str">
        <f ca="1">IFERROR(__xludf.DUMMYFUNCTION("""COMPUTED_VALUE"""),"Bīskapijas")</f>
        <v>Bīskapijas</v>
      </c>
      <c r="AA120" s="13" t="b">
        <f t="shared" ca="1" si="7"/>
        <v>0</v>
      </c>
      <c r="AC120" s="8" t="str">
        <f ca="1">IFERROR(__xludf.DUMMYFUNCTION("""COMPUTED_VALUE"""),"Alatas")</f>
        <v>Alatas</v>
      </c>
      <c r="AD120" s="13" t="b">
        <f t="shared" ca="1" si="8"/>
        <v>0</v>
      </c>
      <c r="AF120" s="8" t="str">
        <f ca="1">IFERROR(__xludf.DUMMYFUNCTION("""COMPUTED_VALUE"""),"Maize")</f>
        <v>Maize</v>
      </c>
      <c r="AG120" s="13" t="b">
        <f t="shared" ca="1" si="9"/>
        <v>0</v>
      </c>
      <c r="AI120" s="8" t="str">
        <f ca="1">IFERROR(__xludf.DUMMYFUNCTION("""COMPUTED_VALUE"""),"Dibināta")</f>
        <v>Dibināta</v>
      </c>
      <c r="AJ120" s="13" t="b">
        <f t="shared" ca="1" si="10"/>
        <v>1</v>
      </c>
      <c r="AL120" s="8" t="str">
        <f ca="1">IFERROR(__xludf.DUMMYFUNCTION("""COMPUTED_VALUE"""),"Nodaba")</f>
        <v>Nodaba</v>
      </c>
      <c r="AM120" s="13" t="b">
        <f t="shared" ca="1" si="11"/>
        <v>1</v>
      </c>
      <c r="AO120" s="8" t="b">
        <f ca="1">COUNTIF(Rezultāti!C:C,G120)&gt;0</f>
        <v>1</v>
      </c>
    </row>
    <row r="121" spans="2:41" x14ac:dyDescent="0.25">
      <c r="B121" s="8" t="str">
        <f ca="1">IF(C121="","",IF(COUNTIF(Rezultāti!C:C,C121)=0,"Labot",""))</f>
        <v/>
      </c>
      <c r="C121" s="8" t="str">
        <f t="shared" ca="1" si="22"/>
        <v>r10vs11</v>
      </c>
      <c r="D121" s="8">
        <f t="shared" ca="1" si="1"/>
        <v>4</v>
      </c>
      <c r="E121" s="12">
        <f ca="1">IFERROR(__xludf.DUMMYFUNCTION("""COMPUTED_VALUE"""),45603.5394289351)</f>
        <v>45603.539428935102</v>
      </c>
      <c r="F121" s="8" t="str">
        <f ca="1">IFERROR(__xludf.DUMMYFUNCTION("""COMPUTED_VALUE"""),"Rīgas 10.vidusskola ")</f>
        <v xml:space="preserve">Rīgas 10.vidusskola </v>
      </c>
      <c r="G121" s="8" t="str">
        <f ca="1">IFERROR(__xludf.DUMMYFUNCTION("""COMPUTED_VALUE"""),"r10vs11")</f>
        <v>r10vs11</v>
      </c>
      <c r="H121" s="8" t="str">
        <f ca="1">IFERROR(__xludf.DUMMYFUNCTION("""COMPUTED_VALUE"""),"Elīna Dorofejeva ")</f>
        <v xml:space="preserve">Elīna Dorofejeva </v>
      </c>
      <c r="I121" s="8" t="str">
        <f ca="1">IFERROR(__xludf.DUMMYFUNCTION("""COMPUTED_VALUE"""),"Arina Bukina")</f>
        <v>Arina Bukina</v>
      </c>
      <c r="J121" s="8" t="str">
        <f ca="1">IFERROR(__xludf.DUMMYFUNCTION("""COMPUTED_VALUE"""),"Sabina Artykova ")</f>
        <v xml:space="preserve">Sabina Artykova </v>
      </c>
      <c r="K121" s="8"/>
      <c r="L121" s="13" t="b">
        <f t="shared" si="2"/>
        <v>0</v>
      </c>
      <c r="N121" s="8" t="str">
        <f ca="1">IFERROR(__xludf.DUMMYFUNCTION("""COMPUTED_VALUE"""),"Zaiga")</f>
        <v>Zaiga</v>
      </c>
      <c r="O121" s="13" t="b">
        <f t="shared" ca="1" si="3"/>
        <v>1</v>
      </c>
      <c r="Q121" s="8"/>
      <c r="R121" s="13" t="b">
        <f t="shared" si="4"/>
        <v>0</v>
      </c>
      <c r="T121" s="8" t="str">
        <f ca="1">IFERROR(__xludf.DUMMYFUNCTION("""COMPUTED_VALUE"""),"Tetris")</f>
        <v>Tetris</v>
      </c>
      <c r="U121" s="13" t="b">
        <f t="shared" ca="1" si="5"/>
        <v>0</v>
      </c>
      <c r="W121" s="8" t="str">
        <f ca="1">IFERROR(__xludf.DUMMYFUNCTION("""COMPUTED_VALUE"""),"Rokās")</f>
        <v>Rokās</v>
      </c>
      <c r="X121" s="13" t="b">
        <f t="shared" ca="1" si="6"/>
        <v>1</v>
      </c>
      <c r="Z121" s="8" t="str">
        <f ca="1">IFERROR(__xludf.DUMMYFUNCTION("""COMPUTED_VALUE"""),"Saulkrasti")</f>
        <v>Saulkrasti</v>
      </c>
      <c r="AA121" s="13" t="b">
        <f t="shared" ca="1" si="7"/>
        <v>0</v>
      </c>
      <c r="AC121" s="8" t="str">
        <f ca="1">IFERROR(__xludf.DUMMYFUNCTION("""COMPUTED_VALUE"""),"Salate")</f>
        <v>Salate</v>
      </c>
      <c r="AD121" s="13" t="b">
        <f t="shared" ca="1" si="8"/>
        <v>1</v>
      </c>
      <c r="AF121" s="8"/>
      <c r="AG121" s="13" t="b">
        <f t="shared" si="9"/>
        <v>0</v>
      </c>
      <c r="AI121" s="8"/>
      <c r="AJ121" s="13" t="b">
        <f t="shared" si="10"/>
        <v>0</v>
      </c>
      <c r="AL121" s="8" t="str">
        <f ca="1">IFERROR(__xludf.DUMMYFUNCTION("""COMPUTED_VALUE"""),"Nodaba")</f>
        <v>Nodaba</v>
      </c>
      <c r="AM121" s="13" t="b">
        <f t="shared" ca="1" si="11"/>
        <v>1</v>
      </c>
      <c r="AO121" s="8" t="b">
        <f ca="1">COUNTIF(Rezultāti!C:C,G121)&gt;0</f>
        <v>1</v>
      </c>
    </row>
    <row r="122" spans="2:41" x14ac:dyDescent="0.25">
      <c r="B122" s="8" t="str">
        <f ca="1">IF(C122="","",IF(COUNTIF(Rezultāti!C:C,C122)=0,"Labot",""))</f>
        <v/>
      </c>
      <c r="C122" s="8" t="str">
        <f t="shared" ca="1" si="22"/>
        <v>Maskačkas puzlētāji 2</v>
      </c>
      <c r="D122" s="8">
        <f t="shared" ca="1" si="1"/>
        <v>4</v>
      </c>
      <c r="E122" s="12">
        <f ca="1">IFERROR(__xludf.DUMMYFUNCTION("""COMPUTED_VALUE"""),45603.5394369328)</f>
        <v>45603.539436932799</v>
      </c>
      <c r="F122" s="8" t="str">
        <f ca="1">IFERROR(__xludf.DUMMYFUNCTION("""COMPUTED_VALUE"""),"Rīgas Angļu ģimnāzija")</f>
        <v>Rīgas Angļu ģimnāzija</v>
      </c>
      <c r="G122" s="8" t="str">
        <f ca="1">IFERROR(__xludf.DUMMYFUNCTION("""COMPUTED_VALUE"""),"Maskačkas puzlētāji 2")</f>
        <v>Maskačkas puzlētāji 2</v>
      </c>
      <c r="H122" s="8" t="str">
        <f ca="1">IFERROR(__xludf.DUMMYFUNCTION("""COMPUTED_VALUE"""),"Tomass Mateuss Elksiņš")</f>
        <v>Tomass Mateuss Elksiņš</v>
      </c>
      <c r="I122" s="8" t="str">
        <f ca="1">IFERROR(__xludf.DUMMYFUNCTION("""COMPUTED_VALUE"""),"Daniels Tālis")</f>
        <v>Daniels Tālis</v>
      </c>
      <c r="J122" s="8" t="str">
        <f ca="1">IFERROR(__xludf.DUMMYFUNCTION("""COMPUTED_VALUE"""),"Nav")</f>
        <v>Nav</v>
      </c>
      <c r="K122" s="8" t="str">
        <f ca="1">IFERROR(__xludf.DUMMYFUNCTION("""COMPUTED_VALUE"""),"Svētā Kārļa Vidzemes Baznīca")</f>
        <v>Svētā Kārļa Vidzemes Baznīca</v>
      </c>
      <c r="L122" s="13" t="b">
        <f t="shared" ca="1" si="2"/>
        <v>0</v>
      </c>
      <c r="N122" s="8" t="str">
        <f ca="1">IFERROR(__xludf.DUMMYFUNCTION("""COMPUTED_VALUE"""),"Zaiga")</f>
        <v>Zaiga</v>
      </c>
      <c r="O122" s="13" t="b">
        <f t="shared" ca="1" si="3"/>
        <v>1</v>
      </c>
      <c r="Q122" s="8" t="str">
        <f ca="1">IFERROR(__xludf.DUMMYFUNCTION("""COMPUTED_VALUE"""),"Bulvāri")</f>
        <v>Bulvāri</v>
      </c>
      <c r="R122" s="13" t="b">
        <f t="shared" ca="1" si="4"/>
        <v>0</v>
      </c>
      <c r="T122" s="8" t="str">
        <f ca="1">IFERROR(__xludf.DUMMYFUNCTION("""COMPUTED_VALUE"""),"Aicina")</f>
        <v>Aicina</v>
      </c>
      <c r="U122" s="13" t="b">
        <f t="shared" ca="1" si="5"/>
        <v>0</v>
      </c>
      <c r="W122" s="8" t="str">
        <f ca="1">IFERROR(__xludf.DUMMYFUNCTION("""COMPUTED_VALUE"""),"Rokās")</f>
        <v>Rokās</v>
      </c>
      <c r="X122" s="13" t="b">
        <f t="shared" ca="1" si="6"/>
        <v>1</v>
      </c>
      <c r="Z122" s="8" t="str">
        <f ca="1">IFERROR(__xludf.DUMMYFUNCTION("""COMPUTED_VALUE"""),"Bīskapijas")</f>
        <v>Bīskapijas</v>
      </c>
      <c r="AA122" s="13" t="b">
        <f t="shared" ca="1" si="7"/>
        <v>0</v>
      </c>
      <c r="AC122" s="8" t="str">
        <f ca="1">IFERROR(__xludf.DUMMYFUNCTION("""COMPUTED_VALUE"""),"Alatas")</f>
        <v>Alatas</v>
      </c>
      <c r="AD122" s="13" t="b">
        <f t="shared" ca="1" si="8"/>
        <v>0</v>
      </c>
      <c r="AF122" s="8" t="str">
        <f ca="1">IFERROR(__xludf.DUMMYFUNCTION("""COMPUTED_VALUE"""),"Maize")</f>
        <v>Maize</v>
      </c>
      <c r="AG122" s="13" t="b">
        <f t="shared" ca="1" si="9"/>
        <v>0</v>
      </c>
      <c r="AI122" s="8" t="str">
        <f ca="1">IFERROR(__xludf.DUMMYFUNCTION("""COMPUTED_VALUE"""),"Dibināta")</f>
        <v>Dibināta</v>
      </c>
      <c r="AJ122" s="13" t="b">
        <f t="shared" ca="1" si="10"/>
        <v>1</v>
      </c>
      <c r="AL122" s="8" t="str">
        <f ca="1">IFERROR(__xludf.DUMMYFUNCTION("""COMPUTED_VALUE"""),"Nodaba")</f>
        <v>Nodaba</v>
      </c>
      <c r="AM122" s="13" t="b">
        <f t="shared" ca="1" si="11"/>
        <v>1</v>
      </c>
      <c r="AO122" s="8" t="b">
        <f ca="1">COUNTIF(Rezultāti!C:C,G122)&gt;0</f>
        <v>1</v>
      </c>
    </row>
    <row r="123" spans="2:41" x14ac:dyDescent="0.25">
      <c r="B123" s="8" t="str">
        <f>IF(C123="","",IF(COUNTIF(Rezultāti!C:C,C123)=0,"Labot",""))</f>
        <v/>
      </c>
      <c r="C123" s="2" t="s">
        <v>94</v>
      </c>
      <c r="D123" s="8">
        <f t="shared" ca="1" si="1"/>
        <v>4</v>
      </c>
      <c r="E123" s="12">
        <f ca="1">IFERROR(__xludf.DUMMYFUNCTION("""COMPUTED_VALUE"""),45603.5394578472)</f>
        <v>45603.539457847197</v>
      </c>
      <c r="F123" s="8" t="str">
        <f ca="1">IFERROR(__xludf.DUMMYFUNCTION("""COMPUTED_VALUE"""),"Rīgas 40 vidusskola ")</f>
        <v xml:space="preserve">Rīgas 40 vidusskola </v>
      </c>
      <c r="G123" s="8" t="str">
        <f ca="1">IFERROR(__xludf.DUMMYFUNCTION("""COMPUTED_VALUE"""),"Ķirsīši ")</f>
        <v xml:space="preserve">Ķirsīši </v>
      </c>
      <c r="H123" s="8" t="str">
        <f ca="1">IFERROR(__xludf.DUMMYFUNCTION("""COMPUTED_VALUE"""),"Sergejs Usenko ")</f>
        <v xml:space="preserve">Sergejs Usenko </v>
      </c>
      <c r="I123" s="8" t="str">
        <f ca="1">IFERROR(__xludf.DUMMYFUNCTION("""COMPUTED_VALUE"""),"Aleksandrs Raciņš ")</f>
        <v xml:space="preserve">Aleksandrs Raciņš </v>
      </c>
      <c r="J123" s="8" t="str">
        <f ca="1">IFERROR(__xludf.DUMMYFUNCTION("""COMPUTED_VALUE"""),"Antons Gaņins ")</f>
        <v xml:space="preserve">Antons Gaņins </v>
      </c>
      <c r="K123" s="8" t="str">
        <f ca="1">IFERROR(__xludf.DUMMYFUNCTION("""COMPUTED_VALUE"""),"Dvīņi ")</f>
        <v xml:space="preserve">Dvīņi </v>
      </c>
      <c r="L123" s="13" t="b">
        <f t="shared" ca="1" si="2"/>
        <v>0</v>
      </c>
      <c r="N123" s="8" t="str">
        <f ca="1">IFERROR(__xludf.DUMMYFUNCTION("""COMPUTED_VALUE"""),"Zaiga")</f>
        <v>Zaiga</v>
      </c>
      <c r="O123" s="13" t="b">
        <f t="shared" ca="1" si="3"/>
        <v>1</v>
      </c>
      <c r="Q123" s="8" t="str">
        <f ca="1">IFERROR(__xludf.DUMMYFUNCTION("""COMPUTED_VALUE"""),"Enioķet ")</f>
        <v xml:space="preserve">Enioķet </v>
      </c>
      <c r="R123" s="13" t="b">
        <f t="shared" ca="1" si="4"/>
        <v>0</v>
      </c>
      <c r="T123" s="8" t="str">
        <f ca="1">IFERROR(__xludf.DUMMYFUNCTION("""COMPUTED_VALUE"""),"Rācija ")</f>
        <v xml:space="preserve">Rācija </v>
      </c>
      <c r="U123" s="13" t="b">
        <f t="shared" ca="1" si="5"/>
        <v>0</v>
      </c>
      <c r="W123" s="8" t="str">
        <f ca="1">IFERROR(__xludf.DUMMYFUNCTION("""COMPUTED_VALUE"""),"Rokās")</f>
        <v>Rokās</v>
      </c>
      <c r="X123" s="13" t="b">
        <f t="shared" ca="1" si="6"/>
        <v>1</v>
      </c>
      <c r="Z123" s="8" t="str">
        <f ca="1">IFERROR(__xludf.DUMMYFUNCTION("""COMPUTED_VALUE"""),"Saulkrasti ")</f>
        <v xml:space="preserve">Saulkrasti </v>
      </c>
      <c r="AA123" s="13" t="b">
        <f t="shared" ca="1" si="7"/>
        <v>0</v>
      </c>
      <c r="AC123" s="8" t="str">
        <f ca="1">IFERROR(__xludf.DUMMYFUNCTION("""COMPUTED_VALUE"""),"Salate ")</f>
        <v xml:space="preserve">Salate </v>
      </c>
      <c r="AD123" s="13" t="b">
        <f t="shared" ca="1" si="8"/>
        <v>0</v>
      </c>
      <c r="AE123" s="7" t="b">
        <v>1</v>
      </c>
      <c r="AF123" s="8" t="str">
        <f ca="1">IFERROR(__xludf.DUMMYFUNCTION("""COMPUTED_VALUE"""),"Zivis")</f>
        <v>Zivis</v>
      </c>
      <c r="AG123" s="13" t="b">
        <f t="shared" ca="1" si="9"/>
        <v>0</v>
      </c>
      <c r="AI123" s="8" t="str">
        <f ca="1">IFERROR(__xludf.DUMMYFUNCTION("""COMPUTED_VALUE"""),"Dibināta ")</f>
        <v xml:space="preserve">Dibināta </v>
      </c>
      <c r="AJ123" s="13" t="b">
        <f t="shared" ca="1" si="10"/>
        <v>0</v>
      </c>
      <c r="AK123" s="7" t="b">
        <v>1</v>
      </c>
      <c r="AL123" s="8" t="str">
        <f ca="1">IFERROR(__xludf.DUMMYFUNCTION("""COMPUTED_VALUE"""),"Lietus")</f>
        <v>Lietus</v>
      </c>
      <c r="AM123" s="13" t="b">
        <f t="shared" ca="1" si="11"/>
        <v>0</v>
      </c>
      <c r="AO123" s="8" t="b">
        <f ca="1">COUNTIF(Rezultāti!C:C,G123)&gt;0</f>
        <v>0</v>
      </c>
    </row>
    <row r="124" spans="2:41" x14ac:dyDescent="0.25">
      <c r="B124" s="8" t="str">
        <f ca="1">IF(C124="","",IF(COUNTIF(Rezultāti!C:C,C124)=0,"Labot",""))</f>
        <v/>
      </c>
      <c r="C124" s="8" t="str">
        <f ca="1">IF(COUNTIF(C125:C321,G124)=0,G124,"")</f>
        <v>MAP</v>
      </c>
      <c r="D124" s="8">
        <f t="shared" ca="1" si="1"/>
        <v>5</v>
      </c>
      <c r="E124" s="12">
        <f ca="1">IFERROR(__xludf.DUMMYFUNCTION("""COMPUTED_VALUE"""),45603.5394667245)</f>
        <v>45603.539466724498</v>
      </c>
      <c r="F124" s="8" t="str">
        <f ca="1">IFERROR(__xludf.DUMMYFUNCTION("""COMPUTED_VALUE"""),"Rīgas Valsts vācu ģimnāzija ")</f>
        <v xml:space="preserve">Rīgas Valsts vācu ģimnāzija </v>
      </c>
      <c r="G124" s="8" t="str">
        <f ca="1">IFERROR(__xludf.DUMMYFUNCTION("""COMPUTED_VALUE"""),"MAP")</f>
        <v>MAP</v>
      </c>
      <c r="H124" s="8" t="str">
        <f ca="1">IFERROR(__xludf.DUMMYFUNCTION("""COMPUTED_VALUE"""),"Maija Seratinaka")</f>
        <v>Maija Seratinaka</v>
      </c>
      <c r="I124" s="8" t="str">
        <f ca="1">IFERROR(__xludf.DUMMYFUNCTION("""COMPUTED_VALUE"""),"Adele Irbe Zeidaka")</f>
        <v>Adele Irbe Zeidaka</v>
      </c>
      <c r="J124" s="8" t="str">
        <f ca="1">IFERROR(__xludf.DUMMYFUNCTION("""COMPUTED_VALUE"""),"Pauls Ādamsons ")</f>
        <v xml:space="preserve">Pauls Ādamsons </v>
      </c>
      <c r="K124" s="8" t="str">
        <f ca="1">IFERROR(__xludf.DUMMYFUNCTION("""COMPUTED_VALUE"""),"pils")</f>
        <v>pils</v>
      </c>
      <c r="L124" s="13" t="b">
        <f t="shared" ca="1" si="2"/>
        <v>0</v>
      </c>
      <c r="N124" s="8" t="str">
        <f ca="1">IFERROR(__xludf.DUMMYFUNCTION("""COMPUTED_VALUE"""),"zaiga")</f>
        <v>zaiga</v>
      </c>
      <c r="O124" s="13" t="b">
        <f t="shared" ca="1" si="3"/>
        <v>1</v>
      </c>
      <c r="Q124" s="8" t="str">
        <f ca="1">IFERROR(__xludf.DUMMYFUNCTION("""COMPUTED_VALUE"""),"sapieni")</f>
        <v>sapieni</v>
      </c>
      <c r="R124" s="13" t="b">
        <f t="shared" ca="1" si="4"/>
        <v>0</v>
      </c>
      <c r="T124" s="8"/>
      <c r="U124" s="13" t="b">
        <f t="shared" si="5"/>
        <v>0</v>
      </c>
      <c r="W124" s="8" t="str">
        <f ca="1">IFERROR(__xludf.DUMMYFUNCTION("""COMPUTED_VALUE"""),"rokās")</f>
        <v>rokās</v>
      </c>
      <c r="X124" s="13" t="b">
        <f t="shared" ca="1" si="6"/>
        <v>1</v>
      </c>
      <c r="Z124" s="8" t="str">
        <f ca="1">IFERROR(__xludf.DUMMYFUNCTION("""COMPUTED_VALUE"""),"saulkrasti")</f>
        <v>saulkrasti</v>
      </c>
      <c r="AA124" s="13" t="b">
        <f t="shared" ca="1" si="7"/>
        <v>0</v>
      </c>
      <c r="AC124" s="8" t="str">
        <f ca="1">IFERROR(__xludf.DUMMYFUNCTION("""COMPUTED_VALUE"""),"Salate")</f>
        <v>Salate</v>
      </c>
      <c r="AD124" s="13" t="b">
        <f t="shared" ca="1" si="8"/>
        <v>1</v>
      </c>
      <c r="AF124" s="8" t="str">
        <f ca="1">IFERROR(__xludf.DUMMYFUNCTION("""COMPUTED_VALUE"""),"radio")</f>
        <v>radio</v>
      </c>
      <c r="AG124" s="13" t="b">
        <f t="shared" ca="1" si="9"/>
        <v>0</v>
      </c>
      <c r="AI124" s="8" t="str">
        <f ca="1">IFERROR(__xludf.DUMMYFUNCTION("""COMPUTED_VALUE"""),"dibināta")</f>
        <v>dibināta</v>
      </c>
      <c r="AJ124" s="13" t="b">
        <f t="shared" ca="1" si="10"/>
        <v>1</v>
      </c>
      <c r="AL124" s="8" t="str">
        <f ca="1">IFERROR(__xludf.DUMMYFUNCTION("""COMPUTED_VALUE"""),"nodaba")</f>
        <v>nodaba</v>
      </c>
      <c r="AM124" s="13" t="b">
        <f t="shared" ca="1" si="11"/>
        <v>1</v>
      </c>
      <c r="AO124" s="8" t="b">
        <f ca="1">COUNTIF(Rezultāti!C:C,G124)&gt;0</f>
        <v>1</v>
      </c>
    </row>
    <row r="125" spans="2:41" x14ac:dyDescent="0.25">
      <c r="B125" s="8" t="str">
        <f>IF(C125="","",IF(COUNTIF(Rezultāti!C:C,C125)=0,"Labot",""))</f>
        <v/>
      </c>
      <c r="C125" s="2" t="s">
        <v>104</v>
      </c>
      <c r="D125" s="8">
        <f t="shared" ca="1" si="1"/>
        <v>3</v>
      </c>
      <c r="E125" s="12">
        <f ca="1">IFERROR(__xludf.DUMMYFUNCTION("""COMPUTED_VALUE"""),45603.5394757986)</f>
        <v>45603.5394757986</v>
      </c>
      <c r="F125" s="8" t="str">
        <f ca="1">IFERROR(__xludf.DUMMYFUNCTION("""COMPUTED_VALUE"""),"Rīgas 34. vidusskola")</f>
        <v>Rīgas 34. vidusskola</v>
      </c>
      <c r="G125" s="8" t="str">
        <f ca="1">IFERROR(__xludf.DUMMYFUNCTION("""COMPUTED_VALUE"""),"IDEA!  SMS")</f>
        <v>IDEA!  SMS</v>
      </c>
      <c r="H125" s="8" t="str">
        <f ca="1">IFERROR(__xludf.DUMMYFUNCTION("""COMPUTED_VALUE"""),"Aleksandrs Kuziks")</f>
        <v>Aleksandrs Kuziks</v>
      </c>
      <c r="I125" s="8" t="str">
        <f ca="1">IFERROR(__xludf.DUMMYFUNCTION("""COMPUTED_VALUE"""),"Marija Soste")</f>
        <v>Marija Soste</v>
      </c>
      <c r="J125" s="8" t="str">
        <f ca="1">IFERROR(__xludf.DUMMYFUNCTION("""COMPUTED_VALUE"""),"Sofija Nasekailova")</f>
        <v>Sofija Nasekailova</v>
      </c>
      <c r="K125" s="8" t="str">
        <f ca="1">IFERROR(__xludf.DUMMYFUNCTION("""COMPUTED_VALUE"""),"Pils")</f>
        <v>Pils</v>
      </c>
      <c r="L125" s="13" t="b">
        <f t="shared" ca="1" si="2"/>
        <v>0</v>
      </c>
      <c r="N125" s="8" t="str">
        <f ca="1">IFERROR(__xludf.DUMMYFUNCTION("""COMPUTED_VALUE"""),"Zaiga")</f>
        <v>Zaiga</v>
      </c>
      <c r="O125" s="13" t="b">
        <f t="shared" ca="1" si="3"/>
        <v>1</v>
      </c>
      <c r="Q125" s="8" t="str">
        <f ca="1">IFERROR(__xludf.DUMMYFUNCTION("""COMPUTED_VALUE"""),"Vēsture")</f>
        <v>Vēsture</v>
      </c>
      <c r="R125" s="13" t="b">
        <f t="shared" ca="1" si="4"/>
        <v>0</v>
      </c>
      <c r="T125" s="8" t="str">
        <f ca="1">IFERROR(__xludf.DUMMYFUNCTION("""COMPUTED_VALUE"""),"Korona")</f>
        <v>Korona</v>
      </c>
      <c r="U125" s="13" t="b">
        <f t="shared" ca="1" si="5"/>
        <v>0</v>
      </c>
      <c r="W125" s="8" t="str">
        <f ca="1">IFERROR(__xludf.DUMMYFUNCTION("""COMPUTED_VALUE"""),"Rokās")</f>
        <v>Rokās</v>
      </c>
      <c r="X125" s="13" t="b">
        <f t="shared" ca="1" si="6"/>
        <v>1</v>
      </c>
      <c r="Z125" s="8" t="str">
        <f ca="1">IFERROR(__xludf.DUMMYFUNCTION("""COMPUTED_VALUE"""),"Sarkanzaļš")</f>
        <v>Sarkanzaļš</v>
      </c>
      <c r="AA125" s="13" t="b">
        <f t="shared" ca="1" si="7"/>
        <v>0</v>
      </c>
      <c r="AC125" s="8" t="str">
        <f ca="1">IFERROR(__xludf.DUMMYFUNCTION("""COMPUTED_VALUE"""),"Slazds")</f>
        <v>Slazds</v>
      </c>
      <c r="AD125" s="13" t="b">
        <f t="shared" ca="1" si="8"/>
        <v>0</v>
      </c>
      <c r="AF125" s="8" t="str">
        <f ca="1">IFERROR(__xludf.DUMMYFUNCTION("""COMPUTED_VALUE"""),"Laser")</f>
        <v>Laser</v>
      </c>
      <c r="AG125" s="13" t="b">
        <f t="shared" ca="1" si="9"/>
        <v>0</v>
      </c>
      <c r="AI125" s="8" t="str">
        <f ca="1">IFERROR(__xludf.DUMMYFUNCTION("""COMPUTED_VALUE"""),"Ziemelis")</f>
        <v>Ziemelis</v>
      </c>
      <c r="AJ125" s="13" t="b">
        <f t="shared" ca="1" si="10"/>
        <v>0</v>
      </c>
      <c r="AL125" s="8" t="str">
        <f ca="1">IFERROR(__xludf.DUMMYFUNCTION("""COMPUTED_VALUE"""),"Nodaba")</f>
        <v>Nodaba</v>
      </c>
      <c r="AM125" s="13" t="b">
        <f t="shared" ca="1" si="11"/>
        <v>1</v>
      </c>
      <c r="AO125" s="8" t="b">
        <f ca="1">COUNTIF(Rezultāti!C:C,G125)&gt;0</f>
        <v>0</v>
      </c>
    </row>
    <row r="126" spans="2:41" x14ac:dyDescent="0.25">
      <c r="B126" s="8" t="str">
        <f ca="1">IF(C126="","",IF(COUNTIF(Rezultāti!C:C,C126)=0,"Labot",""))</f>
        <v/>
      </c>
      <c r="C126" s="8" t="str">
        <f t="shared" ref="C126:C134" ca="1" si="23">IF(COUNTIF(C127:C323,G126)=0,G126,"")</f>
        <v>Alfa, Beta un Epsilon</v>
      </c>
      <c r="D126" s="8">
        <f t="shared" ca="1" si="1"/>
        <v>5</v>
      </c>
      <c r="E126" s="12">
        <f ca="1">IFERROR(__xludf.DUMMYFUNCTION("""COMPUTED_VALUE"""),45603.5394833449)</f>
        <v>45603.539483344903</v>
      </c>
      <c r="F126" s="8" t="str">
        <f ca="1">IFERROR(__xludf.DUMMYFUNCTION("""COMPUTED_VALUE"""),"Rīgas Valsts 1.ģimnāzija")</f>
        <v>Rīgas Valsts 1.ģimnāzija</v>
      </c>
      <c r="G126" s="8" t="str">
        <f ca="1">IFERROR(__xludf.DUMMYFUNCTION("""COMPUTED_VALUE"""),"Alfa, Beta un Epsilon")</f>
        <v>Alfa, Beta un Epsilon</v>
      </c>
      <c r="H126" s="8" t="str">
        <f ca="1">IFERROR(__xludf.DUMMYFUNCTION("""COMPUTED_VALUE"""),"Beatrise Estere Krēmane")</f>
        <v>Beatrise Estere Krēmane</v>
      </c>
      <c r="I126" s="8" t="str">
        <f ca="1">IFERROR(__xludf.DUMMYFUNCTION("""COMPUTED_VALUE"""),"Antonete Martinsone")</f>
        <v>Antonete Martinsone</v>
      </c>
      <c r="J126" s="8" t="str">
        <f ca="1">IFERROR(__xludf.DUMMYFUNCTION("""COMPUTED_VALUE"""),"Emīlija Vahere-Abražune")</f>
        <v>Emīlija Vahere-Abražune</v>
      </c>
      <c r="K126" s="8" t="str">
        <f ca="1">IFERROR(__xludf.DUMMYFUNCTION("""COMPUTED_VALUE"""),"Doms")</f>
        <v>Doms</v>
      </c>
      <c r="L126" s="13" t="b">
        <f t="shared" ca="1" si="2"/>
        <v>1</v>
      </c>
      <c r="N126" s="8" t="str">
        <f ca="1">IFERROR(__xludf.DUMMYFUNCTION("""COMPUTED_VALUE"""),"Inita")</f>
        <v>Inita</v>
      </c>
      <c r="O126" s="13" t="b">
        <f t="shared" ca="1" si="3"/>
        <v>0</v>
      </c>
      <c r="Q126" s="8" t="str">
        <f ca="1">IFERROR(__xludf.DUMMYFUNCTION("""COMPUTED_VALUE"""),"ķiploki")</f>
        <v>ķiploki</v>
      </c>
      <c r="R126" s="13" t="b">
        <f t="shared" ca="1" si="4"/>
        <v>0</v>
      </c>
      <c r="T126" s="8" t="str">
        <f ca="1">IFERROR(__xludf.DUMMYFUNCTION("""COMPUTED_VALUE"""),"Tobāgo")</f>
        <v>Tobāgo</v>
      </c>
      <c r="U126" s="13" t="b">
        <f t="shared" ca="1" si="5"/>
        <v>1</v>
      </c>
      <c r="W126" s="8" t="str">
        <f ca="1">IFERROR(__xludf.DUMMYFUNCTION("""COMPUTED_VALUE"""),"rokās")</f>
        <v>rokās</v>
      </c>
      <c r="X126" s="13" t="b">
        <f t="shared" ca="1" si="6"/>
        <v>1</v>
      </c>
      <c r="Z126" s="8" t="str">
        <f ca="1">IFERROR(__xludf.DUMMYFUNCTION("""COMPUTED_VALUE"""),"Aizkraukle")</f>
        <v>Aizkraukle</v>
      </c>
      <c r="AA126" s="13" t="b">
        <f t="shared" ca="1" si="7"/>
        <v>0</v>
      </c>
      <c r="AC126" s="8" t="str">
        <f ca="1">IFERROR(__xludf.DUMMYFUNCTION("""COMPUTED_VALUE"""),"mērķis")</f>
        <v>mērķis</v>
      </c>
      <c r="AD126" s="13" t="b">
        <f t="shared" ca="1" si="8"/>
        <v>0</v>
      </c>
      <c r="AF126" s="8" t="str">
        <f ca="1">IFERROR(__xludf.DUMMYFUNCTION("""COMPUTED_VALUE"""),"radio")</f>
        <v>radio</v>
      </c>
      <c r="AG126" s="13" t="b">
        <f t="shared" ca="1" si="9"/>
        <v>0</v>
      </c>
      <c r="AI126" s="8" t="str">
        <f ca="1">IFERROR(__xludf.DUMMYFUNCTION("""COMPUTED_VALUE"""),"dibināta")</f>
        <v>dibināta</v>
      </c>
      <c r="AJ126" s="13" t="b">
        <f t="shared" ca="1" si="10"/>
        <v>1</v>
      </c>
      <c r="AL126" s="8" t="str">
        <f ca="1">IFERROR(__xludf.DUMMYFUNCTION("""COMPUTED_VALUE"""),"nodaba")</f>
        <v>nodaba</v>
      </c>
      <c r="AM126" s="13" t="b">
        <f t="shared" ca="1" si="11"/>
        <v>1</v>
      </c>
      <c r="AO126" s="8" t="b">
        <f ca="1">COUNTIF(Rezultāti!C:C,G126)&gt;0</f>
        <v>1</v>
      </c>
    </row>
    <row r="127" spans="2:41" x14ac:dyDescent="0.25">
      <c r="B127" s="8" t="str">
        <f ca="1">IF(C127="","",IF(COUNTIF(Rezultāti!C:C,C127)=0,"Labot",""))</f>
        <v/>
      </c>
      <c r="C127" s="8" t="str">
        <f t="shared" ca="1" si="23"/>
        <v>Prāta gabaliņi</v>
      </c>
      <c r="D127" s="8">
        <f t="shared" ca="1" si="1"/>
        <v>4</v>
      </c>
      <c r="E127" s="12">
        <f ca="1">IFERROR(__xludf.DUMMYFUNCTION("""COMPUTED_VALUE"""),45603.5394872801)</f>
        <v>45603.539487280097</v>
      </c>
      <c r="F127" s="8" t="str">
        <f ca="1">IFERROR(__xludf.DUMMYFUNCTION("""COMPUTED_VALUE"""),"Rīgas Valsts 1. ģimnāzija")</f>
        <v>Rīgas Valsts 1. ģimnāzija</v>
      </c>
      <c r="G127" s="8" t="str">
        <f ca="1">IFERROR(__xludf.DUMMYFUNCTION("""COMPUTED_VALUE"""),"Prāta gabaliņi")</f>
        <v>Prāta gabaliņi</v>
      </c>
      <c r="H127" s="8" t="str">
        <f ca="1">IFERROR(__xludf.DUMMYFUNCTION("""COMPUTED_VALUE"""),"Tīna Muceniece")</f>
        <v>Tīna Muceniece</v>
      </c>
      <c r="I127" s="8" t="str">
        <f ca="1">IFERROR(__xludf.DUMMYFUNCTION("""COMPUTED_VALUE"""),"Betija Štāla")</f>
        <v>Betija Štāla</v>
      </c>
      <c r="J127" s="8" t="str">
        <f ca="1">IFERROR(__xludf.DUMMYFUNCTION("""COMPUTED_VALUE"""),"Liene Doniņa")</f>
        <v>Liene Doniņa</v>
      </c>
      <c r="K127" s="8" t="str">
        <f ca="1">IFERROR(__xludf.DUMMYFUNCTION("""COMPUTED_VALUE"""),"prezidenta pils")</f>
        <v>prezidenta pils</v>
      </c>
      <c r="L127" s="13" t="b">
        <f t="shared" ca="1" si="2"/>
        <v>0</v>
      </c>
      <c r="N127" s="8" t="str">
        <f ca="1">IFERROR(__xludf.DUMMYFUNCTION("""COMPUTED_VALUE"""),"Inita")</f>
        <v>Inita</v>
      </c>
      <c r="O127" s="13" t="b">
        <f t="shared" ca="1" si="3"/>
        <v>0</v>
      </c>
      <c r="Q127" s="8" t="str">
        <f ca="1">IFERROR(__xludf.DUMMYFUNCTION("""COMPUTED_VALUE"""),"pieniķi")</f>
        <v>pieniķi</v>
      </c>
      <c r="R127" s="13" t="b">
        <f t="shared" ca="1" si="4"/>
        <v>0</v>
      </c>
      <c r="T127" s="8" t="str">
        <f ca="1">IFERROR(__xludf.DUMMYFUNCTION("""COMPUTED_VALUE"""),"kamene")</f>
        <v>kamene</v>
      </c>
      <c r="U127" s="13" t="b">
        <f t="shared" ca="1" si="5"/>
        <v>0</v>
      </c>
      <c r="W127" s="8" t="str">
        <f ca="1">IFERROR(__xludf.DUMMYFUNCTION("""COMPUTED_VALUE"""),"rokās")</f>
        <v>rokās</v>
      </c>
      <c r="X127" s="13" t="b">
        <f t="shared" ca="1" si="6"/>
        <v>1</v>
      </c>
      <c r="Z127" s="8" t="str">
        <f ca="1">IFERROR(__xludf.DUMMYFUNCTION("""COMPUTED_VALUE"""),"Saulkrasti")</f>
        <v>Saulkrasti</v>
      </c>
      <c r="AA127" s="13" t="b">
        <f t="shared" ca="1" si="7"/>
        <v>0</v>
      </c>
      <c r="AC127" s="8" t="str">
        <f ca="1">IFERROR(__xludf.DUMMYFUNCTION("""COMPUTED_VALUE"""),"salate")</f>
        <v>salate</v>
      </c>
      <c r="AD127" s="13" t="b">
        <f t="shared" ca="1" si="8"/>
        <v>1</v>
      </c>
      <c r="AF127" s="8" t="str">
        <f ca="1">IFERROR(__xludf.DUMMYFUNCTION("""COMPUTED_VALUE"""),"skola")</f>
        <v>skola</v>
      </c>
      <c r="AG127" s="13" t="b">
        <f t="shared" ca="1" si="9"/>
        <v>0</v>
      </c>
      <c r="AI127" s="8" t="str">
        <f ca="1">IFERROR(__xludf.DUMMYFUNCTION("""COMPUTED_VALUE"""),"dibināja")</f>
        <v>dibināja</v>
      </c>
      <c r="AJ127" s="13" t="b">
        <f t="shared" ca="1" si="10"/>
        <v>0</v>
      </c>
      <c r="AK127" s="7" t="b">
        <v>1</v>
      </c>
      <c r="AL127" s="8" t="str">
        <f ca="1">IFERROR(__xludf.DUMMYFUNCTION("""COMPUTED_VALUE"""),"nodaba")</f>
        <v>nodaba</v>
      </c>
      <c r="AM127" s="13" t="b">
        <f t="shared" ca="1" si="11"/>
        <v>1</v>
      </c>
      <c r="AO127" s="8" t="b">
        <f ca="1">COUNTIF(Rezultāti!C:C,G127)&gt;0</f>
        <v>1</v>
      </c>
    </row>
    <row r="128" spans="2:41" x14ac:dyDescent="0.25">
      <c r="B128" s="8" t="str">
        <f ca="1">IF(C128="","",IF(COUNTIF(Rezultāti!C:C,C128)=0,"Labot",""))</f>
        <v/>
      </c>
      <c r="C128" s="8" t="str">
        <f t="shared" ca="1" si="23"/>
        <v>Kurbulētāji</v>
      </c>
      <c r="D128" s="8">
        <f t="shared" ca="1" si="1"/>
        <v>6</v>
      </c>
      <c r="E128" s="12">
        <f ca="1">IFERROR(__xludf.DUMMYFUNCTION("""COMPUTED_VALUE"""),45603.5394889583)</f>
        <v>45603.539488958297</v>
      </c>
      <c r="F128" s="8" t="str">
        <f ca="1">IFERROR(__xludf.DUMMYFUNCTION("""COMPUTED_VALUE"""),"Rīgas 84. vidusskola")</f>
        <v>Rīgas 84. vidusskola</v>
      </c>
      <c r="G128" s="8" t="str">
        <f ca="1">IFERROR(__xludf.DUMMYFUNCTION("""COMPUTED_VALUE"""),"Kurbulētāji")</f>
        <v>Kurbulētāji</v>
      </c>
      <c r="H128" s="8" t="str">
        <f ca="1">IFERROR(__xludf.DUMMYFUNCTION("""COMPUTED_VALUE"""),"Pēteris Kasparovičs")</f>
        <v>Pēteris Kasparovičs</v>
      </c>
      <c r="I128" s="8" t="str">
        <f ca="1">IFERROR(__xludf.DUMMYFUNCTION("""COMPUTED_VALUE"""),"Raimonds Gabrāns")</f>
        <v>Raimonds Gabrāns</v>
      </c>
      <c r="J128" s="8" t="str">
        <f ca="1">IFERROR(__xludf.DUMMYFUNCTION("""COMPUTED_VALUE"""),"Juris Razalinsks")</f>
        <v>Juris Razalinsks</v>
      </c>
      <c r="K128" s="8" t="str">
        <f ca="1">IFERROR(__xludf.DUMMYFUNCTION("""COMPUTED_VALUE"""),"DAILES TEĀTRIS")</f>
        <v>DAILES TEĀTRIS</v>
      </c>
      <c r="L128" s="13" t="b">
        <f t="shared" ca="1" si="2"/>
        <v>0</v>
      </c>
      <c r="N128" s="8" t="str">
        <f ca="1">IFERROR(__xludf.DUMMYFUNCTION("""COMPUTED_VALUE"""),"ZAIGA")</f>
        <v>ZAIGA</v>
      </c>
      <c r="O128" s="13" t="b">
        <f t="shared" ca="1" si="3"/>
        <v>1</v>
      </c>
      <c r="Q128" s="8" t="str">
        <f ca="1">IFERROR(__xludf.DUMMYFUNCTION("""COMPUTED_VALUE"""),"PILSĒTA")</f>
        <v>PILSĒTA</v>
      </c>
      <c r="R128" s="13" t="b">
        <f t="shared" ca="1" si="4"/>
        <v>0</v>
      </c>
      <c r="T128" s="8" t="str">
        <f ca="1">IFERROR(__xludf.DUMMYFUNCTION("""COMPUTED_VALUE"""),"TOBĀGO")</f>
        <v>TOBĀGO</v>
      </c>
      <c r="U128" s="13" t="b">
        <f t="shared" ca="1" si="5"/>
        <v>1</v>
      </c>
      <c r="W128" s="8" t="str">
        <f ca="1">IFERROR(__xludf.DUMMYFUNCTION("""COMPUTED_VALUE"""),"ROKĀS (Pabeidz teikumu “nākotne ir tavās rokās”)")</f>
        <v>ROKĀS (Pabeidz teikumu “nākotne ir tavās rokās”)</v>
      </c>
      <c r="X128" s="13" t="b">
        <f t="shared" ca="1" si="6"/>
        <v>0</v>
      </c>
      <c r="Y128" s="7" t="b">
        <v>1</v>
      </c>
      <c r="Z128" s="8" t="str">
        <f ca="1">IFERROR(__xludf.DUMMYFUNCTION("""COMPUTED_VALUE"""),"SAULKRASTI")</f>
        <v>SAULKRASTI</v>
      </c>
      <c r="AA128" s="13" t="b">
        <f t="shared" ca="1" si="7"/>
        <v>0</v>
      </c>
      <c r="AC128" s="8" t="str">
        <f ca="1">IFERROR(__xludf.DUMMYFUNCTION("""COMPUTED_VALUE"""),"SALATE")</f>
        <v>SALATE</v>
      </c>
      <c r="AD128" s="13" t="b">
        <f t="shared" ca="1" si="8"/>
        <v>1</v>
      </c>
      <c r="AF128" s="8" t="str">
        <f ca="1">IFERROR(__xludf.DUMMYFUNCTION("""COMPUTED_VALUE"""),"DLRLR")</f>
        <v>DLRLR</v>
      </c>
      <c r="AG128" s="13" t="b">
        <f t="shared" ca="1" si="9"/>
        <v>0</v>
      </c>
      <c r="AI128" s="8" t="str">
        <f ca="1">IFERROR(__xludf.DUMMYFUNCTION("""COMPUTED_VALUE"""),"DIBINĀJA (1201. gads Rīgā)")</f>
        <v>DIBINĀJA (1201. gads Rīgā)</v>
      </c>
      <c r="AJ128" s="13" t="b">
        <f t="shared" ca="1" si="10"/>
        <v>0</v>
      </c>
      <c r="AK128" s="7" t="b">
        <v>1</v>
      </c>
      <c r="AL128" s="8" t="str">
        <f ca="1">IFERROR(__xludf.DUMMYFUNCTION("""COMPUTED_VALUE"""),"NODABA")</f>
        <v>NODABA</v>
      </c>
      <c r="AM128" s="13" t="b">
        <f t="shared" ca="1" si="11"/>
        <v>1</v>
      </c>
      <c r="AO128" s="8" t="b">
        <f ca="1">COUNTIF(Rezultāti!C:C,G128)&gt;0</f>
        <v>1</v>
      </c>
    </row>
    <row r="129" spans="2:41" x14ac:dyDescent="0.25">
      <c r="B129" s="8" t="str">
        <f ca="1">IF(C129="","",IF(COUNTIF(Rezultāti!C:C,C129)=0,"Labot",""))</f>
        <v/>
      </c>
      <c r="C129" s="8" t="str">
        <f t="shared" ca="1" si="23"/>
        <v>Aukstā plauksta</v>
      </c>
      <c r="D129" s="8">
        <f t="shared" ca="1" si="1"/>
        <v>2</v>
      </c>
      <c r="E129" s="12">
        <f ca="1">IFERROR(__xludf.DUMMYFUNCTION("""COMPUTED_VALUE"""),45603.5394998148)</f>
        <v>45603.539499814797</v>
      </c>
      <c r="F129" s="8" t="str">
        <f ca="1">IFERROR(__xludf.DUMMYFUNCTION("""COMPUTED_VALUE"""),"Rīgas Valsts 1. ģimnāzija")</f>
        <v>Rīgas Valsts 1. ģimnāzija</v>
      </c>
      <c r="G129" s="8" t="str">
        <f ca="1">IFERROR(__xludf.DUMMYFUNCTION("""COMPUTED_VALUE"""),"Aukstā plauksta")</f>
        <v>Aukstā plauksta</v>
      </c>
      <c r="H129" s="8" t="str">
        <f ca="1">IFERROR(__xludf.DUMMYFUNCTION("""COMPUTED_VALUE"""),"Roberts Ašmanis")</f>
        <v>Roberts Ašmanis</v>
      </c>
      <c r="I129" s="8" t="str">
        <f ca="1">IFERROR(__xludf.DUMMYFUNCTION("""COMPUTED_VALUE"""),"Georgs Korotkovs")</f>
        <v>Georgs Korotkovs</v>
      </c>
      <c r="J129" s="8" t="str">
        <f ca="1">IFERROR(__xludf.DUMMYFUNCTION("""COMPUTED_VALUE"""),"nav")</f>
        <v>nav</v>
      </c>
      <c r="K129" s="8" t="str">
        <f ca="1">IFERROR(__xludf.DUMMYFUNCTION("""COMPUTED_VALUE"""),"Spartaks")</f>
        <v>Spartaks</v>
      </c>
      <c r="L129" s="13" t="b">
        <f t="shared" ca="1" si="2"/>
        <v>0</v>
      </c>
      <c r="N129" s="8" t="str">
        <f ca="1">IFERROR(__xludf.DUMMYFUNCTION("""COMPUTED_VALUE"""),"Evita")</f>
        <v>Evita</v>
      </c>
      <c r="O129" s="13" t="b">
        <f t="shared" ca="1" si="3"/>
        <v>0</v>
      </c>
      <c r="Q129" s="8" t="str">
        <f ca="1">IFERROR(__xludf.DUMMYFUNCTION("""COMPUTED_VALUE"""),"Pilsēta")</f>
        <v>Pilsēta</v>
      </c>
      <c r="R129" s="13" t="b">
        <f t="shared" ca="1" si="4"/>
        <v>0</v>
      </c>
      <c r="T129" s="8" t="str">
        <f ca="1">IFERROR(__xludf.DUMMYFUNCTION("""COMPUTED_VALUE"""),"Lojāls")</f>
        <v>Lojāls</v>
      </c>
      <c r="U129" s="13" t="b">
        <f t="shared" ca="1" si="5"/>
        <v>0</v>
      </c>
      <c r="W129" s="8" t="str">
        <f ca="1">IFERROR(__xludf.DUMMYFUNCTION("""COMPUTED_VALUE"""),"Budžets")</f>
        <v>Budžets</v>
      </c>
      <c r="X129" s="13" t="b">
        <f t="shared" ca="1" si="6"/>
        <v>0</v>
      </c>
      <c r="Z129" s="8" t="str">
        <f ca="1">IFERROR(__xludf.DUMMYFUNCTION("""COMPUTED_VALUE"""),"Neatkarība")</f>
        <v>Neatkarība</v>
      </c>
      <c r="AA129" s="13" t="b">
        <f t="shared" ca="1" si="7"/>
        <v>0</v>
      </c>
      <c r="AC129" s="8" t="str">
        <f ca="1">IFERROR(__xludf.DUMMYFUNCTION("""COMPUTED_VALUE"""),"Atlase")</f>
        <v>Atlase</v>
      </c>
      <c r="AD129" s="13" t="b">
        <f t="shared" ca="1" si="8"/>
        <v>0</v>
      </c>
      <c r="AF129" s="8" t="str">
        <f ca="1">IFERROR(__xludf.DUMMYFUNCTION("""COMPUTED_VALUE"""),"Miers")</f>
        <v>Miers</v>
      </c>
      <c r="AG129" s="13" t="b">
        <f t="shared" ca="1" si="9"/>
        <v>1</v>
      </c>
      <c r="AI129" s="8" t="str">
        <f ca="1">IFERROR(__xludf.DUMMYFUNCTION("""COMPUTED_VALUE"""),"Austrumi")</f>
        <v>Austrumi</v>
      </c>
      <c r="AJ129" s="13" t="b">
        <f t="shared" ca="1" si="10"/>
        <v>0</v>
      </c>
      <c r="AL129" s="8" t="str">
        <f ca="1">IFERROR(__xludf.DUMMYFUNCTION("""COMPUTED_VALUE"""),"Nodaba")</f>
        <v>Nodaba</v>
      </c>
      <c r="AM129" s="13" t="b">
        <f t="shared" ca="1" si="11"/>
        <v>1</v>
      </c>
      <c r="AO129" s="8" t="b">
        <f ca="1">COUNTIF(Rezultāti!C:C,G129)&gt;0</f>
        <v>1</v>
      </c>
    </row>
    <row r="130" spans="2:41" x14ac:dyDescent="0.25">
      <c r="B130" s="8" t="str">
        <f ca="1">IF(C130="","",IF(COUNTIF(Rezultāti!C:C,C130)=0,"Labot",""))</f>
        <v/>
      </c>
      <c r="C130" s="8" t="str">
        <f t="shared" ca="1" si="23"/>
        <v>Valdemāra gurķi</v>
      </c>
      <c r="D130" s="8">
        <f t="shared" ca="1" si="1"/>
        <v>5</v>
      </c>
      <c r="E130" s="12">
        <f ca="1">IFERROR(__xludf.DUMMYFUNCTION("""COMPUTED_VALUE"""),45603.5395119907)</f>
        <v>45603.539511990697</v>
      </c>
      <c r="F130" s="8" t="str">
        <f ca="1">IFERROR(__xludf.DUMMYFUNCTION("""COMPUTED_VALUE"""),"Rīgas 49.vidusskola")</f>
        <v>Rīgas 49.vidusskola</v>
      </c>
      <c r="G130" s="8" t="str">
        <f ca="1">IFERROR(__xludf.DUMMYFUNCTION("""COMPUTED_VALUE"""),"Valdemāra gurķi")</f>
        <v>Valdemāra gurķi</v>
      </c>
      <c r="H130" s="8" t="str">
        <f ca="1">IFERROR(__xludf.DUMMYFUNCTION("""COMPUTED_VALUE"""),"Jānis Galenieks")</f>
        <v>Jānis Galenieks</v>
      </c>
      <c r="I130" s="8" t="str">
        <f ca="1">IFERROR(__xludf.DUMMYFUNCTION("""COMPUTED_VALUE"""),"Ainārs Ērglis")</f>
        <v>Ainārs Ērglis</v>
      </c>
      <c r="J130" s="8" t="str">
        <f ca="1">IFERROR(__xludf.DUMMYFUNCTION("""COMPUTED_VALUE"""),"Lauma Gaile")</f>
        <v>Lauma Gaile</v>
      </c>
      <c r="K130" s="8" t="str">
        <f ca="1">IFERROR(__xludf.DUMMYFUNCTION("""COMPUTED_VALUE"""),"Rīgas pils")</f>
        <v>Rīgas pils</v>
      </c>
      <c r="L130" s="13" t="b">
        <f t="shared" ca="1" si="2"/>
        <v>0</v>
      </c>
      <c r="N130" s="8" t="str">
        <f ca="1">IFERROR(__xludf.DUMMYFUNCTION("""COMPUTED_VALUE"""),"Zaiga")</f>
        <v>Zaiga</v>
      </c>
      <c r="O130" s="13" t="b">
        <f t="shared" ca="1" si="3"/>
        <v>1</v>
      </c>
      <c r="Q130" s="8" t="str">
        <f ca="1">IFERROR(__xludf.DUMMYFUNCTION("""COMPUTED_VALUE"""),"Daugavā")</f>
        <v>Daugavā</v>
      </c>
      <c r="R130" s="13" t="b">
        <f t="shared" ca="1" si="4"/>
        <v>0</v>
      </c>
      <c r="T130" s="8" t="str">
        <f ca="1">IFERROR(__xludf.DUMMYFUNCTION("""COMPUTED_VALUE"""),"Tobago")</f>
        <v>Tobago</v>
      </c>
      <c r="U130" s="13" t="b">
        <f t="shared" ca="1" si="5"/>
        <v>0</v>
      </c>
      <c r="V130" s="7" t="b">
        <v>1</v>
      </c>
      <c r="W130" s="8" t="str">
        <f ca="1">IFERROR(__xludf.DUMMYFUNCTION("""COMPUTED_VALUE"""),"rokās")</f>
        <v>rokās</v>
      </c>
      <c r="X130" s="13" t="b">
        <f t="shared" ca="1" si="6"/>
        <v>1</v>
      </c>
      <c r="Z130" s="8" t="str">
        <f ca="1">IFERROR(__xludf.DUMMYFUNCTION("""COMPUTED_VALUE"""),"Tirkīzzils")</f>
        <v>Tirkīzzils</v>
      </c>
      <c r="AA130" s="13" t="b">
        <f t="shared" ca="1" si="7"/>
        <v>0</v>
      </c>
      <c r="AC130" s="8" t="str">
        <f ca="1">IFERROR(__xludf.DUMMYFUNCTION("""COMPUTED_VALUE"""),"Salate")</f>
        <v>Salate</v>
      </c>
      <c r="AD130" s="13" t="b">
        <f t="shared" ca="1" si="8"/>
        <v>1</v>
      </c>
      <c r="AF130" s="8" t="str">
        <f ca="1">IFERROR(__xludf.DUMMYFUNCTION("""COMPUTED_VALUE"""),"Rombs")</f>
        <v>Rombs</v>
      </c>
      <c r="AG130" s="13" t="b">
        <f t="shared" ca="1" si="9"/>
        <v>0</v>
      </c>
      <c r="AI130" s="8" t="str">
        <f ca="1">IFERROR(__xludf.DUMMYFUNCTION("""COMPUTED_VALUE"""),"Apzeltība")</f>
        <v>Apzeltība</v>
      </c>
      <c r="AJ130" s="13" t="b">
        <f t="shared" ca="1" si="10"/>
        <v>0</v>
      </c>
      <c r="AL130" s="8" t="str">
        <f ca="1">IFERROR(__xludf.DUMMYFUNCTION("""COMPUTED_VALUE"""),"Nodaba")</f>
        <v>Nodaba</v>
      </c>
      <c r="AM130" s="13" t="b">
        <f t="shared" ca="1" si="11"/>
        <v>1</v>
      </c>
      <c r="AO130" s="8" t="b">
        <f ca="1">COUNTIF(Rezultāti!C:C,G130)&gt;0</f>
        <v>1</v>
      </c>
    </row>
    <row r="131" spans="2:41" x14ac:dyDescent="0.25">
      <c r="B131" s="8" t="str">
        <f ca="1">IF(C131="","",IF(COUNTIF(Rezultāti!C:C,C131)=0,"Labot",""))</f>
        <v/>
      </c>
      <c r="C131" s="8" t="str">
        <f t="shared" ca="1" si="23"/>
        <v>Cietpauri</v>
      </c>
      <c r="D131" s="8">
        <f t="shared" ca="1" si="1"/>
        <v>6</v>
      </c>
      <c r="E131" s="12">
        <f ca="1">IFERROR(__xludf.DUMMYFUNCTION("""COMPUTED_VALUE"""),45603.5395346064)</f>
        <v>45603.539534606403</v>
      </c>
      <c r="F131" s="8" t="str">
        <f ca="1">IFERROR(__xludf.DUMMYFUNCTION("""COMPUTED_VALUE"""),"Rīgas Valsts 1. ğimnāzija")</f>
        <v>Rīgas Valsts 1. ğimnāzija</v>
      </c>
      <c r="G131" s="8" t="str">
        <f ca="1">IFERROR(__xludf.DUMMYFUNCTION("""COMPUTED_VALUE"""),"Cietpauri")</f>
        <v>Cietpauri</v>
      </c>
      <c r="H131" s="8" t="str">
        <f ca="1">IFERROR(__xludf.DUMMYFUNCTION("""COMPUTED_VALUE"""),"Madara Matrevica")</f>
        <v>Madara Matrevica</v>
      </c>
      <c r="I131" s="8" t="str">
        <f ca="1">IFERROR(__xludf.DUMMYFUNCTION("""COMPUTED_VALUE"""),"Amanda Grīne ")</f>
        <v xml:space="preserve">Amanda Grīne </v>
      </c>
      <c r="J131" s="8" t="str">
        <f ca="1">IFERROR(__xludf.DUMMYFUNCTION("""COMPUTED_VALUE"""),"Rēzija Bērziņa")</f>
        <v>Rēzija Bērziņa</v>
      </c>
      <c r="K131" s="8" t="str">
        <f ca="1">IFERROR(__xludf.DUMMYFUNCTION("""COMPUTED_VALUE"""),"Doms")</f>
        <v>Doms</v>
      </c>
      <c r="L131" s="13" t="b">
        <f t="shared" ca="1" si="2"/>
        <v>1</v>
      </c>
      <c r="N131" s="8" t="str">
        <f ca="1">IFERROR(__xludf.DUMMYFUNCTION("""COMPUTED_VALUE"""),"Zaiga")</f>
        <v>Zaiga</v>
      </c>
      <c r="O131" s="13" t="b">
        <f t="shared" ca="1" si="3"/>
        <v>1</v>
      </c>
      <c r="Q131" s="8"/>
      <c r="R131" s="13" t="b">
        <f t="shared" si="4"/>
        <v>0</v>
      </c>
      <c r="T131" s="8" t="str">
        <f ca="1">IFERROR(__xludf.DUMMYFUNCTION("""COMPUTED_VALUE"""),"tobago")</f>
        <v>tobago</v>
      </c>
      <c r="U131" s="13" t="b">
        <f t="shared" ca="1" si="5"/>
        <v>0</v>
      </c>
      <c r="V131" s="7" t="b">
        <v>1</v>
      </c>
      <c r="W131" s="8" t="str">
        <f ca="1">IFERROR(__xludf.DUMMYFUNCTION("""COMPUTED_VALUE"""),"rokās")</f>
        <v>rokās</v>
      </c>
      <c r="X131" s="13" t="b">
        <f t="shared" ca="1" si="6"/>
        <v>1</v>
      </c>
      <c r="Z131" s="8" t="str">
        <f ca="1">IFERROR(__xludf.DUMMYFUNCTION("""COMPUTED_VALUE"""),"saulkrasti")</f>
        <v>saulkrasti</v>
      </c>
      <c r="AA131" s="13" t="b">
        <f t="shared" ca="1" si="7"/>
        <v>0</v>
      </c>
      <c r="AC131" s="8" t="str">
        <f ca="1">IFERROR(__xludf.DUMMYFUNCTION("""COMPUTED_VALUE"""),"salate")</f>
        <v>salate</v>
      </c>
      <c r="AD131" s="13" t="b">
        <f t="shared" ca="1" si="8"/>
        <v>1</v>
      </c>
      <c r="AF131" s="8" t="str">
        <f ca="1">IFERROR(__xludf.DUMMYFUNCTION("""COMPUTED_VALUE"""),"kļūda")</f>
        <v>kļūda</v>
      </c>
      <c r="AG131" s="13" t="b">
        <f t="shared" ca="1" si="9"/>
        <v>0</v>
      </c>
      <c r="AI131" s="8" t="str">
        <f ca="1">IFERROR(__xludf.DUMMYFUNCTION("""COMPUTED_VALUE"""),"pabeigta")</f>
        <v>pabeigta</v>
      </c>
      <c r="AJ131" s="13" t="b">
        <f t="shared" ca="1" si="10"/>
        <v>0</v>
      </c>
      <c r="AL131" s="8" t="str">
        <f ca="1">IFERROR(__xludf.DUMMYFUNCTION("""COMPUTED_VALUE"""),"nodaba")</f>
        <v>nodaba</v>
      </c>
      <c r="AM131" s="13" t="b">
        <f t="shared" ca="1" si="11"/>
        <v>1</v>
      </c>
      <c r="AO131" s="8" t="b">
        <f ca="1">COUNTIF(Rezultāti!C:C,G131)&gt;0</f>
        <v>1</v>
      </c>
    </row>
    <row r="132" spans="2:41" x14ac:dyDescent="0.25">
      <c r="B132" s="8" t="str">
        <f ca="1">IF(C132="","",IF(COUNTIF(Rezultāti!C:C,C132)=0,"Labot",""))</f>
        <v/>
      </c>
      <c r="C132" s="8" t="str">
        <f t="shared" ca="1" si="23"/>
        <v>Ķerkers</v>
      </c>
      <c r="D132" s="8">
        <f t="shared" ca="1" si="1"/>
        <v>7</v>
      </c>
      <c r="E132" s="12">
        <f ca="1">IFERROR(__xludf.DUMMYFUNCTION("""COMPUTED_VALUE"""),45603.5395689004)</f>
        <v>45603.5395689004</v>
      </c>
      <c r="F132" s="8" t="str">
        <f ca="1">IFERROR(__xludf.DUMMYFUNCTION("""COMPUTED_VALUE"""),"Rīgas Juglas vidusskola")</f>
        <v>Rīgas Juglas vidusskola</v>
      </c>
      <c r="G132" s="8" t="str">
        <f ca="1">IFERROR(__xludf.DUMMYFUNCTION("""COMPUTED_VALUE"""),"Ķerkers")</f>
        <v>Ķerkers</v>
      </c>
      <c r="H132" s="8" t="str">
        <f ca="1">IFERROR(__xludf.DUMMYFUNCTION("""COMPUTED_VALUE"""),"Kristaps Felkers")</f>
        <v>Kristaps Felkers</v>
      </c>
      <c r="I132" s="8" t="str">
        <f ca="1">IFERROR(__xludf.DUMMYFUNCTION("""COMPUTED_VALUE"""),"Mikus Kulaks")</f>
        <v>Mikus Kulaks</v>
      </c>
      <c r="J132" s="8" t="str">
        <f ca="1">IFERROR(__xludf.DUMMYFUNCTION("""COMPUTED_VALUE"""),"Mikus Ķirsons")</f>
        <v>Mikus Ķirsons</v>
      </c>
      <c r="K132" s="8" t="str">
        <f ca="1">IFERROR(__xludf.DUMMYFUNCTION("""COMPUTED_VALUE"""),"Doms")</f>
        <v>Doms</v>
      </c>
      <c r="L132" s="13" t="b">
        <f t="shared" ca="1" si="2"/>
        <v>1</v>
      </c>
      <c r="N132" s="8" t="str">
        <f ca="1">IFERROR(__xludf.DUMMYFUNCTION("""COMPUTED_VALUE"""),"Zaiga")</f>
        <v>Zaiga</v>
      </c>
      <c r="O132" s="13" t="b">
        <f t="shared" ca="1" si="3"/>
        <v>1</v>
      </c>
      <c r="Q132" s="8" t="str">
        <f ca="1">IFERROR(__xludf.DUMMYFUNCTION("""COMPUTED_VALUE"""),"Pilsoņi")</f>
        <v>Pilsoņi</v>
      </c>
      <c r="R132" s="13" t="b">
        <f t="shared" ca="1" si="4"/>
        <v>1</v>
      </c>
      <c r="T132" s="8" t="str">
        <f ca="1">IFERROR(__xludf.DUMMYFUNCTION("""COMPUTED_VALUE"""),"Tobāgo")</f>
        <v>Tobāgo</v>
      </c>
      <c r="U132" s="13" t="b">
        <f t="shared" ca="1" si="5"/>
        <v>1</v>
      </c>
      <c r="W132" s="8" t="str">
        <f ca="1">IFERROR(__xludf.DUMMYFUNCTION("""COMPUTED_VALUE"""),"Rokās")</f>
        <v>Rokās</v>
      </c>
      <c r="X132" s="13" t="b">
        <f t="shared" ca="1" si="6"/>
        <v>1</v>
      </c>
      <c r="Z132" s="8" t="str">
        <f ca="1">IFERROR(__xludf.DUMMYFUNCTION("""COMPUTED_VALUE"""),"Pilsdrupas")</f>
        <v>Pilsdrupas</v>
      </c>
      <c r="AA132" s="13" t="b">
        <f t="shared" ca="1" si="7"/>
        <v>0</v>
      </c>
      <c r="AC132" s="8" t="str">
        <f ca="1">IFERROR(__xludf.DUMMYFUNCTION("""COMPUTED_VALUE"""),"Atlase")</f>
        <v>Atlase</v>
      </c>
      <c r="AD132" s="13" t="b">
        <f t="shared" ca="1" si="8"/>
        <v>0</v>
      </c>
      <c r="AF132" s="8" t="str">
        <f ca="1">IFERROR(__xludf.DUMMYFUNCTION("""COMPUTED_VALUE"""),"Aplis")</f>
        <v>Aplis</v>
      </c>
      <c r="AG132" s="13" t="b">
        <f t="shared" ca="1" si="9"/>
        <v>0</v>
      </c>
      <c r="AI132" s="8" t="str">
        <f ca="1">IFERROR(__xludf.DUMMYFUNCTION("""COMPUTED_VALUE"""),"Dibināja")</f>
        <v>Dibināja</v>
      </c>
      <c r="AJ132" s="13" t="b">
        <f t="shared" ca="1" si="10"/>
        <v>0</v>
      </c>
      <c r="AK132" s="7" t="b">
        <v>1</v>
      </c>
      <c r="AL132" s="8" t="str">
        <f ca="1">IFERROR(__xludf.DUMMYFUNCTION("""COMPUTED_VALUE"""),"Nodaba")</f>
        <v>Nodaba</v>
      </c>
      <c r="AM132" s="13" t="b">
        <f t="shared" ca="1" si="11"/>
        <v>1</v>
      </c>
      <c r="AO132" s="8" t="b">
        <f ca="1">COUNTIF(Rezultāti!C:C,G132)&gt;0</f>
        <v>1</v>
      </c>
    </row>
    <row r="133" spans="2:41" x14ac:dyDescent="0.25">
      <c r="B133" s="8" t="str">
        <f ca="1">IF(C133="","",IF(COUNTIF(Rezultāti!C:C,C133)=0,"Labot",""))</f>
        <v/>
      </c>
      <c r="C133" s="8" t="str">
        <f t="shared" ca="1" si="23"/>
        <v>Dirižablis</v>
      </c>
      <c r="D133" s="8">
        <f t="shared" ca="1" si="1"/>
        <v>4</v>
      </c>
      <c r="E133" s="12">
        <f ca="1">IFERROR(__xludf.DUMMYFUNCTION("""COMPUTED_VALUE"""),45603.5395753125)</f>
        <v>45603.539575312498</v>
      </c>
      <c r="F133" s="8" t="str">
        <f ca="1">IFERROR(__xludf.DUMMYFUNCTION("""COMPUTED_VALUE"""),"Rīgas Valsts klasiskā ģimnāzija ")</f>
        <v xml:space="preserve">Rīgas Valsts klasiskā ģimnāzija </v>
      </c>
      <c r="G133" s="8" t="str">
        <f ca="1">IFERROR(__xludf.DUMMYFUNCTION("""COMPUTED_VALUE"""),"Dirižablis")</f>
        <v>Dirižablis</v>
      </c>
      <c r="H133" s="8" t="str">
        <f ca="1">IFERROR(__xludf.DUMMYFUNCTION("""COMPUTED_VALUE"""),"Kamila Kudrjavceva ")</f>
        <v xml:space="preserve">Kamila Kudrjavceva </v>
      </c>
      <c r="I133" s="8" t="str">
        <f ca="1">IFERROR(__xludf.DUMMYFUNCTION("""COMPUTED_VALUE"""),"Marija Sējāne ")</f>
        <v xml:space="preserve">Marija Sējāne </v>
      </c>
      <c r="J133" s="8" t="str">
        <f ca="1">IFERROR(__xludf.DUMMYFUNCTION("""COMPUTED_VALUE"""),"Nikola Bezpavlaja ")</f>
        <v xml:space="preserve">Nikola Bezpavlaja </v>
      </c>
      <c r="K133" s="8" t="str">
        <f ca="1">IFERROR(__xludf.DUMMYFUNCTION("""COMPUTED_VALUE"""),"Milda ")</f>
        <v xml:space="preserve">Milda </v>
      </c>
      <c r="L133" s="13" t="b">
        <f t="shared" ca="1" si="2"/>
        <v>0</v>
      </c>
      <c r="N133" s="8" t="str">
        <f ca="1">IFERROR(__xludf.DUMMYFUNCTION("""COMPUTED_VALUE"""),"Zaiga")</f>
        <v>Zaiga</v>
      </c>
      <c r="O133" s="13" t="b">
        <f t="shared" ca="1" si="3"/>
        <v>1</v>
      </c>
      <c r="Q133" s="8" t="str">
        <f ca="1">IFERROR(__xludf.DUMMYFUNCTION("""COMPUTED_VALUE"""),"Latvija")</f>
        <v>Latvija</v>
      </c>
      <c r="R133" s="13" t="b">
        <f t="shared" ca="1" si="4"/>
        <v>0</v>
      </c>
      <c r="T133" s="8" t="str">
        <f ca="1">IFERROR(__xludf.DUMMYFUNCTION("""COMPUTED_VALUE"""),"gaisma ")</f>
        <v xml:space="preserve">gaisma </v>
      </c>
      <c r="U133" s="13" t="b">
        <f t="shared" ca="1" si="5"/>
        <v>0</v>
      </c>
      <c r="W133" s="8" t="str">
        <f ca="1">IFERROR(__xludf.DUMMYFUNCTION("""COMPUTED_VALUE"""),"rokās ")</f>
        <v xml:space="preserve">rokās </v>
      </c>
      <c r="X133" s="13" t="b">
        <f t="shared" ca="1" si="6"/>
        <v>0</v>
      </c>
      <c r="Y133" s="7" t="b">
        <v>1</v>
      </c>
      <c r="Z133" s="8" t="str">
        <f ca="1">IFERROR(__xludf.DUMMYFUNCTION("""COMPUTED_VALUE"""),"Saulgrieži")</f>
        <v>Saulgrieži</v>
      </c>
      <c r="AA133" s="13" t="b">
        <f t="shared" ca="1" si="7"/>
        <v>0</v>
      </c>
      <c r="AC133" s="8" t="str">
        <f ca="1">IFERROR(__xludf.DUMMYFUNCTION("""COMPUTED_VALUE"""),"Slatas")</f>
        <v>Slatas</v>
      </c>
      <c r="AD133" s="13" t="b">
        <f t="shared" ca="1" si="8"/>
        <v>0</v>
      </c>
      <c r="AF133" s="8" t="str">
        <f ca="1">IFERROR(__xludf.DUMMYFUNCTION("""COMPUTED_VALUE"""),"Lāpas ")</f>
        <v xml:space="preserve">Lāpas </v>
      </c>
      <c r="AG133" s="13" t="b">
        <f t="shared" ca="1" si="9"/>
        <v>0</v>
      </c>
      <c r="AI133" s="8" t="str">
        <f ca="1">IFERROR(__xludf.DUMMYFUNCTION("""COMPUTED_VALUE"""),"Dibināja")</f>
        <v>Dibināja</v>
      </c>
      <c r="AJ133" s="13" t="b">
        <f t="shared" ca="1" si="10"/>
        <v>0</v>
      </c>
      <c r="AK133" s="7" t="b">
        <v>1</v>
      </c>
      <c r="AL133" s="8" t="str">
        <f ca="1">IFERROR(__xludf.DUMMYFUNCTION("""COMPUTED_VALUE"""),"Nodaba ")</f>
        <v xml:space="preserve">Nodaba </v>
      </c>
      <c r="AM133" s="13" t="b">
        <f t="shared" ca="1" si="11"/>
        <v>0</v>
      </c>
      <c r="AN133" s="7" t="b">
        <v>1</v>
      </c>
      <c r="AO133" s="8" t="b">
        <f ca="1">COUNTIF(Rezultāti!C:C,G133)&gt;0</f>
        <v>1</v>
      </c>
    </row>
    <row r="134" spans="2:41" x14ac:dyDescent="0.25">
      <c r="B134" s="8" t="str">
        <f ca="1">IF(C134="","",IF(COUNTIF(Rezultāti!C:C,C134)=0,"Labot",""))</f>
        <v/>
      </c>
      <c r="C134" s="8" t="str">
        <f t="shared" ca="1" si="23"/>
        <v>Pužļotāji</v>
      </c>
      <c r="D134" s="8">
        <f t="shared" ca="1" si="1"/>
        <v>4</v>
      </c>
      <c r="E134" s="12">
        <f ca="1">IFERROR(__xludf.DUMMYFUNCTION("""COMPUTED_VALUE"""),45603.5395874074)</f>
        <v>45603.539587407402</v>
      </c>
      <c r="F134" s="8" t="str">
        <f ca="1">IFERROR(__xludf.DUMMYFUNCTION("""COMPUTED_VALUE"""),"Rīgas Valsts 2. ģimnāzija")</f>
        <v>Rīgas Valsts 2. ģimnāzija</v>
      </c>
      <c r="G134" s="8" t="str">
        <f ca="1">IFERROR(__xludf.DUMMYFUNCTION("""COMPUTED_VALUE"""),"Pužļotāji")</f>
        <v>Pužļotāji</v>
      </c>
      <c r="H134" s="8" t="str">
        <f ca="1">IFERROR(__xludf.DUMMYFUNCTION("""COMPUTED_VALUE"""),"Vīnkalns")</f>
        <v>Vīnkalns</v>
      </c>
      <c r="I134" s="8" t="str">
        <f ca="1">IFERROR(__xludf.DUMMYFUNCTION("""COMPUTED_VALUE"""),"Linkevičs")</f>
        <v>Linkevičs</v>
      </c>
      <c r="J134" s="8" t="str">
        <f ca="1">IFERROR(__xludf.DUMMYFUNCTION("""COMPUTED_VALUE"""),"Kalpiša")</f>
        <v>Kalpiša</v>
      </c>
      <c r="K134" s="8" t="str">
        <f ca="1">IFERROR(__xludf.DUMMYFUNCTION("""COMPUTED_VALUE"""),"Kolizejs")</f>
        <v>Kolizejs</v>
      </c>
      <c r="L134" s="13" t="b">
        <f t="shared" ca="1" si="2"/>
        <v>0</v>
      </c>
      <c r="N134" s="8" t="str">
        <f ca="1">IFERROR(__xludf.DUMMYFUNCTION("""COMPUTED_VALUE"""),"Zaiga")</f>
        <v>Zaiga</v>
      </c>
      <c r="O134" s="13" t="b">
        <f t="shared" ca="1" si="3"/>
        <v>1</v>
      </c>
      <c r="Q134" s="8" t="str">
        <f ca="1">IFERROR(__xludf.DUMMYFUNCTION("""COMPUTED_VALUE"""),"Pieturā")</f>
        <v>Pieturā</v>
      </c>
      <c r="R134" s="13" t="b">
        <f t="shared" ca="1" si="4"/>
        <v>0</v>
      </c>
      <c r="T134" s="8" t="str">
        <f ca="1">IFERROR(__xludf.DUMMYFUNCTION("""COMPUTED_VALUE"""),"Puzlis")</f>
        <v>Puzlis</v>
      </c>
      <c r="U134" s="13" t="b">
        <f t="shared" ca="1" si="5"/>
        <v>0</v>
      </c>
      <c r="W134" s="8" t="str">
        <f ca="1">IFERROR(__xludf.DUMMYFUNCTION("""COMPUTED_VALUE"""),"Rokās")</f>
        <v>Rokās</v>
      </c>
      <c r="X134" s="13" t="b">
        <f t="shared" ca="1" si="6"/>
        <v>1</v>
      </c>
      <c r="Z134" s="8" t="str">
        <f ca="1">IFERROR(__xludf.DUMMYFUNCTION("""COMPUTED_VALUE"""),"Saulkrasti")</f>
        <v>Saulkrasti</v>
      </c>
      <c r="AA134" s="13" t="b">
        <f t="shared" ca="1" si="7"/>
        <v>0</v>
      </c>
      <c r="AC134" s="8" t="str">
        <f ca="1">IFERROR(__xludf.DUMMYFUNCTION("""COMPUTED_VALUE"""),"Atlase")</f>
        <v>Atlase</v>
      </c>
      <c r="AD134" s="13" t="b">
        <f t="shared" ca="1" si="8"/>
        <v>0</v>
      </c>
      <c r="AF134" s="8" t="str">
        <f ca="1">IFERROR(__xludf.DUMMYFUNCTION("""COMPUTED_VALUE"""),"Ziema")</f>
        <v>Ziema</v>
      </c>
      <c r="AG134" s="13" t="b">
        <f t="shared" ca="1" si="9"/>
        <v>0</v>
      </c>
      <c r="AI134" s="8" t="str">
        <f ca="1">IFERROR(__xludf.DUMMYFUNCTION("""COMPUTED_VALUE"""),"Dibināja")</f>
        <v>Dibināja</v>
      </c>
      <c r="AJ134" s="13" t="b">
        <f t="shared" ca="1" si="10"/>
        <v>0</v>
      </c>
      <c r="AK134" s="7" t="b">
        <v>1</v>
      </c>
      <c r="AL134" s="8" t="str">
        <f ca="1">IFERROR(__xludf.DUMMYFUNCTION("""COMPUTED_VALUE"""),"Nodaba")</f>
        <v>Nodaba</v>
      </c>
      <c r="AM134" s="13" t="b">
        <f t="shared" ca="1" si="11"/>
        <v>1</v>
      </c>
      <c r="AO134" s="8" t="b">
        <f ca="1">COUNTIF(Rezultāti!C:C,G134)&gt;0</f>
        <v>1</v>
      </c>
    </row>
    <row r="135" spans="2:41" x14ac:dyDescent="0.25">
      <c r="B135" s="8" t="str">
        <f>IF(C135="","",IF(COUNTIF(Rezultāti!C:C,C135)=0,"Labot",""))</f>
        <v/>
      </c>
      <c r="C135" s="2" t="s">
        <v>32</v>
      </c>
      <c r="D135" s="8">
        <f t="shared" ca="1" si="1"/>
        <v>6</v>
      </c>
      <c r="E135" s="12">
        <f ca="1">IFERROR(__xludf.DUMMYFUNCTION("""COMPUTED_VALUE"""),45603.5396149652)</f>
        <v>45603.539614965201</v>
      </c>
      <c r="F135" s="8" t="str">
        <f ca="1">IFERROR(__xludf.DUMMYFUNCTION("""COMPUTED_VALUE"""),"Rīgas Imantas vidusskola")</f>
        <v>Rīgas Imantas vidusskola</v>
      </c>
      <c r="G135" s="8" t="str">
        <f ca="1">IFERROR(__xludf.DUMMYFUNCTION("""COMPUTED_VALUE"""),"Domā, loģiski")</f>
        <v>Domā, loģiski</v>
      </c>
      <c r="H135" s="8" t="str">
        <f ca="1">IFERROR(__xludf.DUMMYFUNCTION("""COMPUTED_VALUE"""),"Krists Rancāns")</f>
        <v>Krists Rancāns</v>
      </c>
      <c r="I135" s="8" t="str">
        <f ca="1">IFERROR(__xludf.DUMMYFUNCTION("""COMPUTED_VALUE"""),"Rainers Rončs")</f>
        <v>Rainers Rončs</v>
      </c>
      <c r="J135" s="8" t="str">
        <f ca="1">IFERROR(__xludf.DUMMYFUNCTION("""COMPUTED_VALUE"""),"Liene Jansone")</f>
        <v>Liene Jansone</v>
      </c>
      <c r="K135" s="8" t="str">
        <f ca="1">IFERROR(__xludf.DUMMYFUNCTION("""COMPUTED_VALUE"""),"bābeles tornis")</f>
        <v>bābeles tornis</v>
      </c>
      <c r="L135" s="13" t="b">
        <f t="shared" ca="1" si="2"/>
        <v>0</v>
      </c>
      <c r="N135" s="8" t="str">
        <f ca="1">IFERROR(__xludf.DUMMYFUNCTION("""COMPUTED_VALUE"""),"Zaiga")</f>
        <v>Zaiga</v>
      </c>
      <c r="O135" s="13" t="b">
        <f t="shared" ca="1" si="3"/>
        <v>1</v>
      </c>
      <c r="Q135" s="8" t="str">
        <f ca="1">IFERROR(__xludf.DUMMYFUNCTION("""COMPUTED_VALUE"""),"piesieņ")</f>
        <v>piesieņ</v>
      </c>
      <c r="R135" s="13" t="b">
        <f t="shared" ca="1" si="4"/>
        <v>0</v>
      </c>
      <c r="T135" s="8" t="str">
        <f ca="1">IFERROR(__xludf.DUMMYFUNCTION("""COMPUTED_VALUE"""),"Tobago")</f>
        <v>Tobago</v>
      </c>
      <c r="U135" s="13" t="b">
        <f t="shared" ca="1" si="5"/>
        <v>0</v>
      </c>
      <c r="V135" s="7" t="b">
        <v>1</v>
      </c>
      <c r="W135" s="8" t="str">
        <f ca="1">IFERROR(__xludf.DUMMYFUNCTION("""COMPUTED_VALUE"""),"rokās")</f>
        <v>rokās</v>
      </c>
      <c r="X135" s="13" t="b">
        <f t="shared" ca="1" si="6"/>
        <v>1</v>
      </c>
      <c r="Z135" s="8" t="str">
        <f ca="1">IFERROR(__xludf.DUMMYFUNCTION("""COMPUTED_VALUE"""),"saulkrasti")</f>
        <v>saulkrasti</v>
      </c>
      <c r="AA135" s="13" t="b">
        <f t="shared" ca="1" si="7"/>
        <v>0</v>
      </c>
      <c r="AC135" s="8" t="str">
        <f ca="1">IFERROR(__xludf.DUMMYFUNCTION("""COMPUTED_VALUE"""),"salate")</f>
        <v>salate</v>
      </c>
      <c r="AD135" s="13" t="b">
        <f t="shared" ca="1" si="8"/>
        <v>1</v>
      </c>
      <c r="AF135" s="8" t="str">
        <f ca="1">IFERROR(__xludf.DUMMYFUNCTION("""COMPUTED_VALUE"""),"TQYZA")</f>
        <v>TQYZA</v>
      </c>
      <c r="AG135" s="13" t="b">
        <f t="shared" ca="1" si="9"/>
        <v>0</v>
      </c>
      <c r="AI135" s="8" t="str">
        <f ca="1">IFERROR(__xludf.DUMMYFUNCTION("""COMPUTED_VALUE"""),"dibināta")</f>
        <v>dibināta</v>
      </c>
      <c r="AJ135" s="13" t="b">
        <f t="shared" ca="1" si="10"/>
        <v>1</v>
      </c>
      <c r="AL135" s="8" t="str">
        <f ca="1">IFERROR(__xludf.DUMMYFUNCTION("""COMPUTED_VALUE"""),"nodaba")</f>
        <v>nodaba</v>
      </c>
      <c r="AM135" s="13" t="b">
        <f t="shared" ca="1" si="11"/>
        <v>1</v>
      </c>
      <c r="AO135" s="8" t="b">
        <f ca="1">COUNTIF(Rezultāti!C:C,G135)&gt;0</f>
        <v>0</v>
      </c>
    </row>
    <row r="136" spans="2:41" x14ac:dyDescent="0.25">
      <c r="B136" s="8" t="str">
        <f>IF(C136="","",IF(COUNTIF(Rezultāti!C:C,C136)=0,"Labot",""))</f>
        <v/>
      </c>
      <c r="C136" s="2" t="s">
        <v>33</v>
      </c>
      <c r="D136" s="8">
        <f t="shared" ca="1" si="1"/>
        <v>6</v>
      </c>
      <c r="E136" s="12">
        <f ca="1">IFERROR(__xludf.DUMMYFUNCTION("""COMPUTED_VALUE"""),45603.5396174537)</f>
        <v>45603.539617453702</v>
      </c>
      <c r="F136" s="8" t="str">
        <f ca="1">IFERROR(__xludf.DUMMYFUNCTION("""COMPUTED_VALUE"""),"Rīgas Valsts 2. ģimnāzija ")</f>
        <v xml:space="preserve">Rīgas Valsts 2. ģimnāzija </v>
      </c>
      <c r="G136" s="8" t="str">
        <f ca="1">IFERROR(__xludf.DUMMYFUNCTION("""COMPUTED_VALUE"""),"Bezgalības izaicinātāji ")</f>
        <v xml:space="preserve">Bezgalības izaicinātāji </v>
      </c>
      <c r="H136" s="8" t="str">
        <f ca="1">IFERROR(__xludf.DUMMYFUNCTION("""COMPUTED_VALUE"""),"Līva Anna Egle")</f>
        <v>Līva Anna Egle</v>
      </c>
      <c r="I136" s="8" t="str">
        <f ca="1">IFERROR(__xludf.DUMMYFUNCTION("""COMPUTED_VALUE"""),"Dāvis Graudiņš ")</f>
        <v xml:space="preserve">Dāvis Graudiņš </v>
      </c>
      <c r="J136" s="8" t="str">
        <f ca="1">IFERROR(__xludf.DUMMYFUNCTION("""COMPUTED_VALUE"""),"Renāte Šmite")</f>
        <v>Renāte Šmite</v>
      </c>
      <c r="K136" s="8" t="str">
        <f ca="1">IFERROR(__xludf.DUMMYFUNCTION("""COMPUTED_VALUE"""),"Doms")</f>
        <v>Doms</v>
      </c>
      <c r="L136" s="13" t="b">
        <f t="shared" ca="1" si="2"/>
        <v>1</v>
      </c>
      <c r="N136" s="8" t="str">
        <f ca="1">IFERROR(__xludf.DUMMYFUNCTION("""COMPUTED_VALUE"""),"Zaiga ")</f>
        <v xml:space="preserve">Zaiga </v>
      </c>
      <c r="O136" s="13" t="b">
        <f t="shared" ca="1" si="3"/>
        <v>0</v>
      </c>
      <c r="P136" s="7" t="b">
        <v>1</v>
      </c>
      <c r="Q136" s="8" t="str">
        <f ca="1">IFERROR(__xludf.DUMMYFUNCTION("""COMPUTED_VALUE"""),"Ipiolati")</f>
        <v>Ipiolati</v>
      </c>
      <c r="R136" s="13" t="b">
        <f t="shared" ca="1" si="4"/>
        <v>0</v>
      </c>
      <c r="T136" s="8" t="str">
        <f ca="1">IFERROR(__xludf.DUMMYFUNCTION("""COMPUTED_VALUE"""),"Tobago ")</f>
        <v xml:space="preserve">Tobago </v>
      </c>
      <c r="U136" s="13" t="b">
        <f t="shared" ca="1" si="5"/>
        <v>0</v>
      </c>
      <c r="V136" s="7" t="b">
        <v>1</v>
      </c>
      <c r="W136" s="8" t="str">
        <f ca="1">IFERROR(__xludf.DUMMYFUNCTION("""COMPUTED_VALUE"""),"Rokās")</f>
        <v>Rokās</v>
      </c>
      <c r="X136" s="13" t="b">
        <f t="shared" ca="1" si="6"/>
        <v>1</v>
      </c>
      <c r="Z136" s="8" t="str">
        <f ca="1">IFERROR(__xludf.DUMMYFUNCTION("""COMPUTED_VALUE"""),"Aizkraukle")</f>
        <v>Aizkraukle</v>
      </c>
      <c r="AA136" s="13" t="b">
        <f t="shared" ca="1" si="7"/>
        <v>0</v>
      </c>
      <c r="AC136" s="8" t="str">
        <f ca="1">IFERROR(__xludf.DUMMYFUNCTION("""COMPUTED_VALUE"""),"Atlase")</f>
        <v>Atlase</v>
      </c>
      <c r="AD136" s="13" t="b">
        <f t="shared" ca="1" si="8"/>
        <v>0</v>
      </c>
      <c r="AF136" s="8" t="str">
        <f ca="1">IFERROR(__xludf.DUMMYFUNCTION("""COMPUTED_VALUE"""),"Ābece")</f>
        <v>Ābece</v>
      </c>
      <c r="AG136" s="13" t="b">
        <f t="shared" ca="1" si="9"/>
        <v>0</v>
      </c>
      <c r="AI136" s="8" t="str">
        <f ca="1">IFERROR(__xludf.DUMMYFUNCTION("""COMPUTED_VALUE"""),"Nodibina")</f>
        <v>Nodibina</v>
      </c>
      <c r="AJ136" s="13" t="b">
        <f t="shared" ca="1" si="10"/>
        <v>0</v>
      </c>
      <c r="AK136" s="7" t="b">
        <v>1</v>
      </c>
      <c r="AL136" s="8" t="str">
        <f ca="1">IFERROR(__xludf.DUMMYFUNCTION("""COMPUTED_VALUE"""),"Nodaba")</f>
        <v>Nodaba</v>
      </c>
      <c r="AM136" s="13" t="b">
        <f t="shared" ca="1" si="11"/>
        <v>1</v>
      </c>
      <c r="AO136" s="8" t="b">
        <f ca="1">COUNTIF(Rezultāti!C:C,G136)&gt;0</f>
        <v>0</v>
      </c>
    </row>
    <row r="137" spans="2:41" x14ac:dyDescent="0.25">
      <c r="B137" s="8" t="str">
        <f>IF(C137="","",IF(COUNTIF(Rezultāti!C:C,C137)=0,"Labot",""))</f>
        <v/>
      </c>
      <c r="C137" s="2" t="s">
        <v>68</v>
      </c>
      <c r="D137" s="8">
        <f t="shared" ca="1" si="1"/>
        <v>4</v>
      </c>
      <c r="E137" s="12">
        <f ca="1">IFERROR(__xludf.DUMMYFUNCTION("""COMPUTED_VALUE"""),45603.5396256018)</f>
        <v>45603.539625601799</v>
      </c>
      <c r="F137" s="8" t="str">
        <f ca="1">IFERROR(__xludf.DUMMYFUNCTION("""COMPUTED_VALUE"""),"Rīgas Valsts 3. ģimnāzija")</f>
        <v>Rīgas Valsts 3. ģimnāzija</v>
      </c>
      <c r="G137" s="8" t="str">
        <f ca="1">IFERROR(__xludf.DUMMYFUNCTION("""COMPUTED_VALUE"""),"Negative IQ")</f>
        <v>Negative IQ</v>
      </c>
      <c r="H137" s="8" t="str">
        <f ca="1">IFERROR(__xludf.DUMMYFUNCTION("""COMPUTED_VALUE"""),"Vasilijs Tverskojs")</f>
        <v>Vasilijs Tverskojs</v>
      </c>
      <c r="I137" s="8" t="str">
        <f ca="1">IFERROR(__xludf.DUMMYFUNCTION("""COMPUTED_VALUE"""),"Nikolajs Koževņikovs")</f>
        <v>Nikolajs Koževņikovs</v>
      </c>
      <c r="J137" s="8" t="str">
        <f ca="1">IFERROR(__xludf.DUMMYFUNCTION("""COMPUTED_VALUE"""),"Nikolaj Levdik")</f>
        <v>Nikolaj Levdik</v>
      </c>
      <c r="K137" s="8"/>
      <c r="L137" s="13" t="b">
        <f t="shared" si="2"/>
        <v>0</v>
      </c>
      <c r="N137" s="8" t="str">
        <f ca="1">IFERROR(__xludf.DUMMYFUNCTION("""COMPUTED_VALUE"""),"Zaiga")</f>
        <v>Zaiga</v>
      </c>
      <c r="O137" s="13" t="b">
        <f t="shared" ca="1" si="3"/>
        <v>1</v>
      </c>
      <c r="Q137" s="8" t="str">
        <f ca="1">IFERROR(__xludf.DUMMYFUNCTION("""COMPUTED_VALUE"""),"Epitets")</f>
        <v>Epitets</v>
      </c>
      <c r="R137" s="13" t="b">
        <f t="shared" ca="1" si="4"/>
        <v>0</v>
      </c>
      <c r="T137" s="8" t="str">
        <f ca="1">IFERROR(__xludf.DUMMYFUNCTION("""COMPUTED_VALUE"""),"Gaisma")</f>
        <v>Gaisma</v>
      </c>
      <c r="U137" s="13" t="b">
        <f t="shared" ca="1" si="5"/>
        <v>0</v>
      </c>
      <c r="W137" s="8" t="str">
        <f ca="1">IFERROR(__xludf.DUMMYFUNCTION("""COMPUTED_VALUE"""),"Rokās")</f>
        <v>Rokās</v>
      </c>
      <c r="X137" s="13" t="b">
        <f t="shared" ca="1" si="6"/>
        <v>1</v>
      </c>
      <c r="Z137" s="8"/>
      <c r="AA137" s="13" t="b">
        <f t="shared" si="7"/>
        <v>0</v>
      </c>
      <c r="AC137" s="8" t="str">
        <f ca="1">IFERROR(__xludf.DUMMYFUNCTION("""COMPUTED_VALUE"""),"atlase")</f>
        <v>atlase</v>
      </c>
      <c r="AD137" s="13" t="b">
        <f t="shared" ca="1" si="8"/>
        <v>0</v>
      </c>
      <c r="AF137" s="8"/>
      <c r="AG137" s="13" t="b">
        <f t="shared" si="9"/>
        <v>0</v>
      </c>
      <c r="AI137" s="8" t="str">
        <f ca="1">IFERROR(__xludf.DUMMYFUNCTION("""COMPUTED_VALUE"""),"dibināta")</f>
        <v>dibināta</v>
      </c>
      <c r="AJ137" s="13" t="b">
        <f t="shared" ca="1" si="10"/>
        <v>1</v>
      </c>
      <c r="AL137" s="8" t="str">
        <f ca="1">IFERROR(__xludf.DUMMYFUNCTION("""COMPUTED_VALUE"""),"nodaba")</f>
        <v>nodaba</v>
      </c>
      <c r="AM137" s="13" t="b">
        <f t="shared" ca="1" si="11"/>
        <v>1</v>
      </c>
      <c r="AO137" s="8" t="b">
        <f ca="1">COUNTIF(Rezultāti!C:C,G137)&gt;0</f>
        <v>0</v>
      </c>
    </row>
    <row r="138" spans="2:41" x14ac:dyDescent="0.25">
      <c r="B138" s="8" t="str">
        <f ca="1">IF(C138="","",IF(COUNTIF(Rezultāti!C:C,C138)=0,"Labot",""))</f>
        <v/>
      </c>
      <c r="C138" s="8" t="str">
        <f t="shared" ref="C138:C140" ca="1" si="24">IF(COUNTIF(C139:C335,G138)=0,G138,"")</f>
        <v>Shenzhen Ballers</v>
      </c>
      <c r="D138" s="8">
        <f t="shared" ca="1" si="1"/>
        <v>4</v>
      </c>
      <c r="E138" s="12">
        <f ca="1">IFERROR(__xludf.DUMMYFUNCTION("""COMPUTED_VALUE"""),45603.5396265162)</f>
        <v>45603.539626516198</v>
      </c>
      <c r="F138" s="8" t="str">
        <f ca="1">IFERROR(__xludf.DUMMYFUNCTION("""COMPUTED_VALUE"""),"Rīgas Valsts 3. ģimnāzija")</f>
        <v>Rīgas Valsts 3. ģimnāzija</v>
      </c>
      <c r="G138" s="8" t="str">
        <f ca="1">IFERROR(__xludf.DUMMYFUNCTION("""COMPUTED_VALUE"""),"Shenzhen Ballers")</f>
        <v>Shenzhen Ballers</v>
      </c>
      <c r="H138" s="8" t="str">
        <f ca="1">IFERROR(__xludf.DUMMYFUNCTION("""COMPUTED_VALUE"""),"Matīss Matvejevs")</f>
        <v>Matīss Matvejevs</v>
      </c>
      <c r="I138" s="8" t="str">
        <f ca="1">IFERROR(__xludf.DUMMYFUNCTION("""COMPUTED_VALUE"""),"Oļegs Panferovs")</f>
        <v>Oļegs Panferovs</v>
      </c>
      <c r="J138" s="8" t="str">
        <f ca="1">IFERROR(__xludf.DUMMYFUNCTION("""COMPUTED_VALUE"""),"Timurs Tkačuks")</f>
        <v>Timurs Tkačuks</v>
      </c>
      <c r="K138" s="8" t="str">
        <f ca="1">IFERROR(__xludf.DUMMYFUNCTION("""COMPUTED_VALUE"""),"Bastions")</f>
        <v>Bastions</v>
      </c>
      <c r="L138" s="13" t="b">
        <f t="shared" ca="1" si="2"/>
        <v>0</v>
      </c>
      <c r="N138" s="8" t="str">
        <f ca="1">IFERROR(__xludf.DUMMYFUNCTION("""COMPUTED_VALUE"""),"Inita")</f>
        <v>Inita</v>
      </c>
      <c r="O138" s="13" t="b">
        <f t="shared" ca="1" si="3"/>
        <v>0</v>
      </c>
      <c r="Q138" s="8" t="str">
        <f ca="1">IFERROR(__xludf.DUMMYFUNCTION("""COMPUTED_VALUE"""),"Pilsoņi")</f>
        <v>Pilsoņi</v>
      </c>
      <c r="R138" s="13" t="b">
        <f t="shared" ca="1" si="4"/>
        <v>1</v>
      </c>
      <c r="T138" s="8"/>
      <c r="U138" s="13" t="b">
        <f t="shared" si="5"/>
        <v>0</v>
      </c>
      <c r="W138" s="8" t="str">
        <f ca="1">IFERROR(__xludf.DUMMYFUNCTION("""COMPUTED_VALUE"""),"Rokās")</f>
        <v>Rokās</v>
      </c>
      <c r="X138" s="13" t="b">
        <f t="shared" ca="1" si="6"/>
        <v>1</v>
      </c>
      <c r="Z138" s="8" t="str">
        <f ca="1">IFERROR(__xludf.DUMMYFUNCTION("""COMPUTED_VALUE"""),"eklektisms")</f>
        <v>eklektisms</v>
      </c>
      <c r="AA138" s="13" t="b">
        <f t="shared" ca="1" si="7"/>
        <v>0</v>
      </c>
      <c r="AC138" s="8" t="str">
        <f ca="1">IFERROR(__xludf.DUMMYFUNCTION("""COMPUTED_VALUE"""),"Atlase")</f>
        <v>Atlase</v>
      </c>
      <c r="AD138" s="13" t="b">
        <f t="shared" ca="1" si="8"/>
        <v>0</v>
      </c>
      <c r="AF138" s="8" t="str">
        <f ca="1">IFERROR(__xludf.DUMMYFUNCTION("""COMPUTED_VALUE"""),"Melis")</f>
        <v>Melis</v>
      </c>
      <c r="AG138" s="13" t="b">
        <f t="shared" ca="1" si="9"/>
        <v>0</v>
      </c>
      <c r="AI138" s="8" t="str">
        <f ca="1">IFERROR(__xludf.DUMMYFUNCTION("""COMPUTED_VALUE"""),"Dibināta")</f>
        <v>Dibināta</v>
      </c>
      <c r="AJ138" s="13" t="b">
        <f t="shared" ca="1" si="10"/>
        <v>1</v>
      </c>
      <c r="AL138" s="8" t="str">
        <f ca="1">IFERROR(__xludf.DUMMYFUNCTION("""COMPUTED_VALUE"""),"Nodaba")</f>
        <v>Nodaba</v>
      </c>
      <c r="AM138" s="13" t="b">
        <f t="shared" ca="1" si="11"/>
        <v>1</v>
      </c>
      <c r="AO138" s="8" t="b">
        <f ca="1">COUNTIF(Rezultāti!C:C,G138)&gt;0</f>
        <v>1</v>
      </c>
    </row>
    <row r="139" spans="2:41" x14ac:dyDescent="0.25">
      <c r="B139" s="8" t="str">
        <f ca="1">IF(C139="","",IF(COUNTIF(Rezultāti!C:C,C139)=0,"Labot",""))</f>
        <v/>
      </c>
      <c r="C139" s="8" t="str">
        <f t="shared" ca="1" si="24"/>
        <v>Pedro</v>
      </c>
      <c r="D139" s="8">
        <f t="shared" ca="1" si="1"/>
        <v>3</v>
      </c>
      <c r="E139" s="12">
        <f ca="1">IFERROR(__xludf.DUMMYFUNCTION("""COMPUTED_VALUE"""),45603.5396384143)</f>
        <v>45603.539638414302</v>
      </c>
      <c r="F139" s="8" t="str">
        <f ca="1">IFERROR(__xludf.DUMMYFUNCTION("""COMPUTED_VALUE"""),"Rīgas 13. vidusskola")</f>
        <v>Rīgas 13. vidusskola</v>
      </c>
      <c r="G139" s="8" t="str">
        <f ca="1">IFERROR(__xludf.DUMMYFUNCTION("""COMPUTED_VALUE"""),"Pedro")</f>
        <v>Pedro</v>
      </c>
      <c r="H139" s="8" t="str">
        <f ca="1">IFERROR(__xludf.DUMMYFUNCTION("""COMPUTED_VALUE"""),"Anastasija Fedaka")</f>
        <v>Anastasija Fedaka</v>
      </c>
      <c r="I139" s="8" t="str">
        <f ca="1">IFERROR(__xludf.DUMMYFUNCTION("""COMPUTED_VALUE"""),"Aleksejs Afanasjevs")</f>
        <v>Aleksejs Afanasjevs</v>
      </c>
      <c r="J139" s="8" t="str">
        <f ca="1">IFERROR(__xludf.DUMMYFUNCTION("""COMPUTED_VALUE"""),"Ivan Shnider")</f>
        <v>Ivan Shnider</v>
      </c>
      <c r="K139" s="8" t="str">
        <f ca="1">IFERROR(__xludf.DUMMYFUNCTION("""COMPUTED_VALUE"""),"Svēta Katrīnas Vārti Baznīca")</f>
        <v>Svēta Katrīnas Vārti Baznīca</v>
      </c>
      <c r="L139" s="13" t="b">
        <f t="shared" ca="1" si="2"/>
        <v>0</v>
      </c>
      <c r="N139" s="8" t="str">
        <f ca="1">IFERROR(__xludf.DUMMYFUNCTION("""COMPUTED_VALUE"""),"Zaiga")</f>
        <v>Zaiga</v>
      </c>
      <c r="O139" s="13" t="b">
        <f t="shared" ca="1" si="3"/>
        <v>1</v>
      </c>
      <c r="Q139" s="8" t="str">
        <f ca="1">IFERROR(__xludf.DUMMYFUNCTION("""COMPUTED_VALUE"""),"Pārvads")</f>
        <v>Pārvads</v>
      </c>
      <c r="R139" s="13" t="b">
        <f t="shared" ca="1" si="4"/>
        <v>0</v>
      </c>
      <c r="T139" s="8" t="str">
        <f ca="1">IFERROR(__xludf.DUMMYFUNCTION("""COMPUTED_VALUE"""),"Kronis")</f>
        <v>Kronis</v>
      </c>
      <c r="U139" s="13" t="b">
        <f t="shared" ca="1" si="5"/>
        <v>0</v>
      </c>
      <c r="W139" s="8" t="str">
        <f ca="1">IFERROR(__xludf.DUMMYFUNCTION("""COMPUTED_VALUE"""),"Rokās")</f>
        <v>Rokās</v>
      </c>
      <c r="X139" s="13" t="b">
        <f t="shared" ca="1" si="6"/>
        <v>1</v>
      </c>
      <c r="Z139" s="8" t="str">
        <f ca="1">IFERROR(__xludf.DUMMYFUNCTION("""COMPUTED_VALUE"""),"Aizkraukle")</f>
        <v>Aizkraukle</v>
      </c>
      <c r="AA139" s="13" t="b">
        <f t="shared" ca="1" si="7"/>
        <v>0</v>
      </c>
      <c r="AC139" s="8" t="str">
        <f ca="1">IFERROR(__xludf.DUMMYFUNCTION("""COMPUTED_VALUE"""),"Klabas")</f>
        <v>Klabas</v>
      </c>
      <c r="AD139" s="13" t="b">
        <f t="shared" ca="1" si="8"/>
        <v>0</v>
      </c>
      <c r="AF139" s="8" t="str">
        <f ca="1">IFERROR(__xludf.DUMMYFUNCTION("""COMPUTED_VALUE"""),"Radio")</f>
        <v>Radio</v>
      </c>
      <c r="AG139" s="13" t="b">
        <f t="shared" ca="1" si="9"/>
        <v>0</v>
      </c>
      <c r="AI139" s="8" t="str">
        <f ca="1">IFERROR(__xludf.DUMMYFUNCTION("""COMPUTED_VALUE"""),"Dzimšana")</f>
        <v>Dzimšana</v>
      </c>
      <c r="AJ139" s="13" t="b">
        <f t="shared" ca="1" si="10"/>
        <v>0</v>
      </c>
      <c r="AL139" s="8" t="str">
        <f ca="1">IFERROR(__xludf.DUMMYFUNCTION("""COMPUTED_VALUE"""),"Nodaba")</f>
        <v>Nodaba</v>
      </c>
      <c r="AM139" s="13" t="b">
        <f t="shared" ca="1" si="11"/>
        <v>1</v>
      </c>
      <c r="AO139" s="8" t="b">
        <f ca="1">COUNTIF(Rezultāti!C:C,G139)&gt;0</f>
        <v>1</v>
      </c>
    </row>
    <row r="140" spans="2:41" x14ac:dyDescent="0.25">
      <c r="B140" s="8" t="str">
        <f ca="1">IF(C140="","",IF(COUNTIF(Rezultāti!C:C,C140)=0,"Labot",""))</f>
        <v/>
      </c>
      <c r="C140" s="8" t="str">
        <f t="shared" ca="1" si="24"/>
        <v>ComTwo</v>
      </c>
      <c r="D140" s="8">
        <f t="shared" ca="1" si="1"/>
        <v>4</v>
      </c>
      <c r="E140" s="12">
        <f ca="1">IFERROR(__xludf.DUMMYFUNCTION("""COMPUTED_VALUE"""),45603.5396455671)</f>
        <v>45603.5396455671</v>
      </c>
      <c r="F140" s="8" t="str">
        <f ca="1">IFERROR(__xludf.DUMMYFUNCTION("""COMPUTED_VALUE"""),"Rīgas 80. vidusskola")</f>
        <v>Rīgas 80. vidusskola</v>
      </c>
      <c r="G140" s="8" t="str">
        <f ca="1">IFERROR(__xludf.DUMMYFUNCTION("""COMPUTED_VALUE"""),"ComTwo")</f>
        <v>ComTwo</v>
      </c>
      <c r="H140" s="8" t="str">
        <f ca="1">IFERROR(__xludf.DUMMYFUNCTION("""COMPUTED_VALUE"""),"Jekaterina Buņina")</f>
        <v>Jekaterina Buņina</v>
      </c>
      <c r="I140" s="8" t="str">
        <f ca="1">IFERROR(__xludf.DUMMYFUNCTION("""COMPUTED_VALUE"""),"Lada Mijerska")</f>
        <v>Lada Mijerska</v>
      </c>
      <c r="J140" s="8" t="str">
        <f ca="1">IFERROR(__xludf.DUMMYFUNCTION("""COMPUTED_VALUE"""),"Valērija Pavlova")</f>
        <v>Valērija Pavlova</v>
      </c>
      <c r="K140" s="8" t="str">
        <f ca="1">IFERROR(__xludf.DUMMYFUNCTION("""COMPUTED_VALUE"""),"Doms")</f>
        <v>Doms</v>
      </c>
      <c r="L140" s="13" t="b">
        <f t="shared" ca="1" si="2"/>
        <v>1</v>
      </c>
      <c r="N140" s="8" t="str">
        <f ca="1">IFERROR(__xludf.DUMMYFUNCTION("""COMPUTED_VALUE"""),"Zaiga")</f>
        <v>Zaiga</v>
      </c>
      <c r="O140" s="13" t="b">
        <f t="shared" ca="1" si="3"/>
        <v>1</v>
      </c>
      <c r="Q140" s="8" t="str">
        <f ca="1">IFERROR(__xludf.DUMMYFUNCTION("""COMPUTED_VALUE"""),"Latvija")</f>
        <v>Latvija</v>
      </c>
      <c r="R140" s="13" t="b">
        <f t="shared" ca="1" si="4"/>
        <v>0</v>
      </c>
      <c r="T140" s="8" t="str">
        <f ca="1">IFERROR(__xludf.DUMMYFUNCTION("""COMPUTED_VALUE"""),"Upenes")</f>
        <v>Upenes</v>
      </c>
      <c r="U140" s="13" t="b">
        <f t="shared" ca="1" si="5"/>
        <v>0</v>
      </c>
      <c r="W140" s="8" t="str">
        <f ca="1">IFERROR(__xludf.DUMMYFUNCTION("""COMPUTED_VALUE"""),"mājas")</f>
        <v>mājas</v>
      </c>
      <c r="X140" s="13" t="b">
        <f t="shared" ca="1" si="6"/>
        <v>0</v>
      </c>
      <c r="Z140" s="8" t="str">
        <f ca="1">IFERROR(__xludf.DUMMYFUNCTION("""COMPUTED_VALUE"""),"ZBZBSZZZZZ (krāsu pirmie burti)")</f>
        <v>ZBZBSZZZZZ (krāsu pirmie burti)</v>
      </c>
      <c r="AA140" s="13" t="b">
        <f t="shared" ca="1" si="7"/>
        <v>0</v>
      </c>
      <c r="AC140" s="8" t="str">
        <f ca="1">IFERROR(__xludf.DUMMYFUNCTION("""COMPUTED_VALUE"""),"Slavas")</f>
        <v>Slavas</v>
      </c>
      <c r="AD140" s="13" t="b">
        <f t="shared" ca="1" si="8"/>
        <v>0</v>
      </c>
      <c r="AF140" s="8" t="str">
        <f ca="1">IFERROR(__xludf.DUMMYFUNCTION("""COMPUTED_VALUE"""),"Alarm")</f>
        <v>Alarm</v>
      </c>
      <c r="AG140" s="13" t="b">
        <f t="shared" ca="1" si="9"/>
        <v>0</v>
      </c>
      <c r="AI140" s="8" t="str">
        <f ca="1">IFERROR(__xludf.DUMMYFUNCTION("""COMPUTED_VALUE"""),"dibināta")</f>
        <v>dibināta</v>
      </c>
      <c r="AJ140" s="13" t="b">
        <f t="shared" ca="1" si="10"/>
        <v>1</v>
      </c>
      <c r="AL140" s="8" t="str">
        <f ca="1">IFERROR(__xludf.DUMMYFUNCTION("""COMPUTED_VALUE"""),"Nodaba")</f>
        <v>Nodaba</v>
      </c>
      <c r="AM140" s="13" t="b">
        <f t="shared" ca="1" si="11"/>
        <v>1</v>
      </c>
      <c r="AO140" s="8" t="b">
        <f ca="1">COUNTIF(Rezultāti!C:C,G140)&gt;0</f>
        <v>1</v>
      </c>
    </row>
    <row r="141" spans="2:41" hidden="1" x14ac:dyDescent="0.25">
      <c r="B141" s="8" t="str">
        <f>IF(C141="","",IF(COUNTIF(Rezultāti!C:C,C141)=0,"Labot",""))</f>
        <v/>
      </c>
      <c r="D141" s="8">
        <f t="shared" ca="1" si="1"/>
        <v>2</v>
      </c>
      <c r="E141" s="12">
        <f ca="1">IFERROR(__xludf.DUMMYFUNCTION("""COMPUTED_VALUE"""),45603.5396504513)</f>
        <v>45603.539650451297</v>
      </c>
      <c r="F141" s="8" t="str">
        <f ca="1">IFERROR(__xludf.DUMMYFUNCTION("""COMPUTED_VALUE"""),"Rīgas Ukraiņu vidusskola")</f>
        <v>Rīgas Ukraiņu vidusskola</v>
      </c>
      <c r="G141" s="8" t="str">
        <f ca="1">IFERROR(__xludf.DUMMYFUNCTION("""COMPUTED_VALUE"""),"Lux de esperanza")</f>
        <v>Lux de esperanza</v>
      </c>
      <c r="H141" s="8" t="str">
        <f ca="1">IFERROR(__xludf.DUMMYFUNCTION("""COMPUTED_VALUE"""),"Daria Subbotina-Hnatiuk")</f>
        <v>Daria Subbotina-Hnatiuk</v>
      </c>
      <c r="I141" s="8" t="str">
        <f ca="1">IFERROR(__xludf.DUMMYFUNCTION("""COMPUTED_VALUE"""),"Ilja Čuprina")</f>
        <v>Ilja Čuprina</v>
      </c>
      <c r="J141" s="8" t="str">
        <f ca="1">IFERROR(__xludf.DUMMYFUNCTION("""COMPUTED_VALUE"""),"Matvii Mudrak")</f>
        <v>Matvii Mudrak</v>
      </c>
      <c r="K141" s="8"/>
      <c r="L141" s="13" t="b">
        <f t="shared" si="2"/>
        <v>0</v>
      </c>
      <c r="N141" s="8" t="str">
        <f ca="1">IFERROR(__xludf.DUMMYFUNCTION("""COMPUTED_VALUE"""),"Zaiga")</f>
        <v>Zaiga</v>
      </c>
      <c r="O141" s="13" t="b">
        <f t="shared" ca="1" si="3"/>
        <v>1</v>
      </c>
      <c r="Q141" s="8"/>
      <c r="R141" s="13" t="b">
        <f t="shared" si="4"/>
        <v>0</v>
      </c>
      <c r="T141" s="8"/>
      <c r="U141" s="13" t="b">
        <f t="shared" si="5"/>
        <v>0</v>
      </c>
      <c r="W141" s="8" t="str">
        <f ca="1">IFERROR(__xludf.DUMMYFUNCTION("""COMPUTED_VALUE"""),"Nauda")</f>
        <v>Nauda</v>
      </c>
      <c r="X141" s="13" t="b">
        <f t="shared" ca="1" si="6"/>
        <v>0</v>
      </c>
      <c r="Z141" s="8" t="str">
        <f ca="1">IFERROR(__xludf.DUMMYFUNCTION("""COMPUTED_VALUE"""),"Dzeltenais")</f>
        <v>Dzeltenais</v>
      </c>
      <c r="AA141" s="13" t="b">
        <f t="shared" ca="1" si="7"/>
        <v>0</v>
      </c>
      <c r="AC141" s="8" t="str">
        <f ca="1">IFERROR(__xludf.DUMMYFUNCTION("""COMPUTED_VALUE"""),"Skadrs")</f>
        <v>Skadrs</v>
      </c>
      <c r="AD141" s="13" t="b">
        <f t="shared" ca="1" si="8"/>
        <v>0</v>
      </c>
      <c r="AF141" s="8"/>
      <c r="AG141" s="13" t="b">
        <f t="shared" si="9"/>
        <v>0</v>
      </c>
      <c r="AI141" s="8" t="str">
        <f ca="1">IFERROR(__xludf.DUMMYFUNCTION("""COMPUTED_VALUE"""),"Vejradis")</f>
        <v>Vejradis</v>
      </c>
      <c r="AJ141" s="13" t="b">
        <f t="shared" ca="1" si="10"/>
        <v>0</v>
      </c>
      <c r="AL141" s="8" t="str">
        <f ca="1">IFERROR(__xludf.DUMMYFUNCTION("""COMPUTED_VALUE"""),"Nodaba")</f>
        <v>Nodaba</v>
      </c>
      <c r="AM141" s="13" t="b">
        <f t="shared" ca="1" si="11"/>
        <v>1</v>
      </c>
      <c r="AO141" s="8" t="b">
        <f ca="1">COUNTIF(Rezultāti!C:C,G141)&gt;0</f>
        <v>0</v>
      </c>
    </row>
    <row r="142" spans="2:41" x14ac:dyDescent="0.25">
      <c r="B142" s="8" t="str">
        <f>IF(C142="","",IF(COUNTIF(Rezultāti!C:C,C142)=0,"Labot",""))</f>
        <v/>
      </c>
      <c r="C142" s="2" t="s">
        <v>123</v>
      </c>
      <c r="D142" s="8">
        <f t="shared" ca="1" si="1"/>
        <v>2</v>
      </c>
      <c r="E142" s="12">
        <f ca="1">IFERROR(__xludf.DUMMYFUNCTION("""COMPUTED_VALUE"""),45603.5396530324)</f>
        <v>45603.5396530324</v>
      </c>
      <c r="F142" s="8" t="str">
        <f ca="1">IFERROR(__xludf.DUMMYFUNCTION("""COMPUTED_VALUE"""),"Rīgas Ukraiņu vidusskola ")</f>
        <v xml:space="preserve">Rīgas Ukraiņu vidusskola </v>
      </c>
      <c r="G142" s="8" t="str">
        <f ca="1">IFERROR(__xludf.DUMMYFUNCTION("""COMPUTED_VALUE"""),"Luz de esperanza ")</f>
        <v xml:space="preserve">Luz de esperanza </v>
      </c>
      <c r="H142" s="8" t="str">
        <f ca="1">IFERROR(__xludf.DUMMYFUNCTION("""COMPUTED_VALUE"""),"Iļja Čuprins ")</f>
        <v xml:space="preserve">Iļja Čuprins </v>
      </c>
      <c r="I142" s="8" t="str">
        <f ca="1">IFERROR(__xludf.DUMMYFUNCTION("""COMPUTED_VALUE"""),"Matvii Mudrak ")</f>
        <v xml:space="preserve">Matvii Mudrak </v>
      </c>
      <c r="J142" s="8" t="str">
        <f ca="1">IFERROR(__xludf.DUMMYFUNCTION("""COMPUTED_VALUE"""),"Daría Subbotina-Hnatiuk ")</f>
        <v xml:space="preserve">Daría Subbotina-Hnatiuk </v>
      </c>
      <c r="K142" s="8"/>
      <c r="L142" s="13" t="b">
        <f t="shared" si="2"/>
        <v>0</v>
      </c>
      <c r="N142" s="8" t="str">
        <f ca="1">IFERROR(__xludf.DUMMYFUNCTION("""COMPUTED_VALUE"""),"Zaiga")</f>
        <v>Zaiga</v>
      </c>
      <c r="O142" s="13" t="b">
        <f t="shared" ca="1" si="3"/>
        <v>1</v>
      </c>
      <c r="Q142" s="8"/>
      <c r="R142" s="13" t="b">
        <f t="shared" si="4"/>
        <v>0</v>
      </c>
      <c r="T142" s="8" t="str">
        <f ca="1">IFERROR(__xludf.DUMMYFUNCTION("""COMPUTED_VALUE"""),"Poopen")</f>
        <v>Poopen</v>
      </c>
      <c r="U142" s="13" t="b">
        <f t="shared" ca="1" si="5"/>
        <v>0</v>
      </c>
      <c r="W142" s="8" t="str">
        <f ca="1">IFERROR(__xludf.DUMMYFUNCTION("""COMPUTED_VALUE"""),"Nauda")</f>
        <v>Nauda</v>
      </c>
      <c r="X142" s="13" t="b">
        <f t="shared" ca="1" si="6"/>
        <v>0</v>
      </c>
      <c r="Z142" s="8" t="str">
        <f ca="1">IFERROR(__xludf.DUMMYFUNCTION("""COMPUTED_VALUE"""),"Dzeltenais")</f>
        <v>Dzeltenais</v>
      </c>
      <c r="AA142" s="13" t="b">
        <f t="shared" ca="1" si="7"/>
        <v>0</v>
      </c>
      <c r="AC142" s="8" t="str">
        <f ca="1">IFERROR(__xludf.DUMMYFUNCTION("""COMPUTED_VALUE"""),"Skadrs")</f>
        <v>Skadrs</v>
      </c>
      <c r="AD142" s="13" t="b">
        <f t="shared" ca="1" si="8"/>
        <v>0</v>
      </c>
      <c r="AF142" s="8"/>
      <c r="AG142" s="13" t="b">
        <f t="shared" si="9"/>
        <v>0</v>
      </c>
      <c r="AI142" s="8" t="str">
        <f ca="1">IFERROR(__xludf.DUMMYFUNCTION("""COMPUTED_VALUE"""),"Vējrādis")</f>
        <v>Vējrādis</v>
      </c>
      <c r="AJ142" s="13" t="b">
        <f t="shared" ca="1" si="10"/>
        <v>0</v>
      </c>
      <c r="AL142" s="8" t="str">
        <f ca="1">IFERROR(__xludf.DUMMYFUNCTION("""COMPUTED_VALUE"""),"Nodaba")</f>
        <v>Nodaba</v>
      </c>
      <c r="AM142" s="13" t="b">
        <f t="shared" ca="1" si="11"/>
        <v>1</v>
      </c>
      <c r="AO142" s="8" t="b">
        <f ca="1">COUNTIF(Rezultāti!C:C,G142)&gt;0</f>
        <v>0</v>
      </c>
    </row>
    <row r="143" spans="2:41" x14ac:dyDescent="0.25">
      <c r="B143" s="8" t="str">
        <f ca="1">IF(C143="","",IF(COUNTIF(Rezultāti!C:C,C143)=0,"Labot",""))</f>
        <v/>
      </c>
      <c r="C143" s="8" t="str">
        <f t="shared" ref="C143:C150" ca="1" si="25">IF(COUNTIF(C144:C340,G143)=0,G143,"")</f>
        <v>Kambalance</v>
      </c>
      <c r="D143" s="8">
        <f t="shared" ca="1" si="1"/>
        <v>4</v>
      </c>
      <c r="E143" s="12">
        <f ca="1">IFERROR(__xludf.DUMMYFUNCTION("""COMPUTED_VALUE"""),45603.5398868402)</f>
        <v>45603.539886840197</v>
      </c>
      <c r="F143" s="8" t="str">
        <f ca="1">IFERROR(__xludf.DUMMYFUNCTION("""COMPUTED_VALUE"""),"Rīgas Pervciema vidusskola")</f>
        <v>Rīgas Pervciema vidusskola</v>
      </c>
      <c r="G143" s="8" t="str">
        <f ca="1">IFERROR(__xludf.DUMMYFUNCTION("""COMPUTED_VALUE"""),"Kambalance")</f>
        <v>Kambalance</v>
      </c>
      <c r="H143" s="8" t="str">
        <f ca="1">IFERROR(__xludf.DUMMYFUNCTION("""COMPUTED_VALUE"""),"Pāvels Rudko")</f>
        <v>Pāvels Rudko</v>
      </c>
      <c r="I143" s="8" t="str">
        <f ca="1">IFERROR(__xludf.DUMMYFUNCTION("""COMPUTED_VALUE"""),"Iļja Fomkins")</f>
        <v>Iļja Fomkins</v>
      </c>
      <c r="J143" s="8" t="str">
        <f ca="1">IFERROR(__xludf.DUMMYFUNCTION("""COMPUTED_VALUE"""),"Danila Belovs")</f>
        <v>Danila Belovs</v>
      </c>
      <c r="K143" s="8" t="str">
        <f ca="1">IFERROR(__xludf.DUMMYFUNCTION("""COMPUTED_VALUE"""),"Svēta Karla vēsturiska baznīca")</f>
        <v>Svēta Karla vēsturiska baznīca</v>
      </c>
      <c r="L143" s="13" t="b">
        <f t="shared" ca="1" si="2"/>
        <v>0</v>
      </c>
      <c r="N143" s="8" t="str">
        <f ca="1">IFERROR(__xludf.DUMMYFUNCTION("""COMPUTED_VALUE"""),"Zaiga")</f>
        <v>Zaiga</v>
      </c>
      <c r="O143" s="13" t="b">
        <f t="shared" ca="1" si="3"/>
        <v>1</v>
      </c>
      <c r="Q143" s="8" t="str">
        <f ca="1">IFERROR(__xludf.DUMMYFUNCTION("""COMPUTED_VALUE"""),"Epitets")</f>
        <v>Epitets</v>
      </c>
      <c r="R143" s="13" t="b">
        <f t="shared" ca="1" si="4"/>
        <v>0</v>
      </c>
      <c r="T143" s="8" t="str">
        <f ca="1">IFERROR(__xludf.DUMMYFUNCTION("""COMPUTED_VALUE"""),"GAISMA")</f>
        <v>GAISMA</v>
      </c>
      <c r="U143" s="13" t="b">
        <f t="shared" ca="1" si="5"/>
        <v>0</v>
      </c>
      <c r="W143" s="8" t="str">
        <f ca="1">IFERROR(__xludf.DUMMYFUNCTION("""COMPUTED_VALUE"""),"Rokās")</f>
        <v>Rokās</v>
      </c>
      <c r="X143" s="13" t="b">
        <f t="shared" ca="1" si="6"/>
        <v>1</v>
      </c>
      <c r="Z143" s="8" t="str">
        <f ca="1">IFERROR(__xludf.DUMMYFUNCTION("""COMPUTED_VALUE"""),"Saulgrieži")</f>
        <v>Saulgrieži</v>
      </c>
      <c r="AA143" s="13" t="b">
        <f t="shared" ca="1" si="7"/>
        <v>0</v>
      </c>
      <c r="AC143" s="8" t="str">
        <f ca="1">IFERROR(__xludf.DUMMYFUNCTION("""COMPUTED_VALUE"""),"Salaka")</f>
        <v>Salaka</v>
      </c>
      <c r="AD143" s="13" t="b">
        <f t="shared" ca="1" si="8"/>
        <v>0</v>
      </c>
      <c r="AF143" s="8" t="str">
        <f ca="1">IFERROR(__xludf.DUMMYFUNCTION("""COMPUTED_VALUE"""),"Lāpas")</f>
        <v>Lāpas</v>
      </c>
      <c r="AG143" s="13" t="b">
        <f t="shared" ca="1" si="9"/>
        <v>0</v>
      </c>
      <c r="AI143" s="8" t="str">
        <f ca="1">IFERROR(__xludf.DUMMYFUNCTION("""COMPUTED_VALUE"""),"Dibināta")</f>
        <v>Dibināta</v>
      </c>
      <c r="AJ143" s="13" t="b">
        <f t="shared" ca="1" si="10"/>
        <v>1</v>
      </c>
      <c r="AL143" s="8" t="str">
        <f ca="1">IFERROR(__xludf.DUMMYFUNCTION("""COMPUTED_VALUE"""),"Nodaba")</f>
        <v>Nodaba</v>
      </c>
      <c r="AM143" s="13" t="b">
        <f t="shared" ca="1" si="11"/>
        <v>1</v>
      </c>
      <c r="AO143" s="8" t="b">
        <f ca="1">COUNTIF(Rezultāti!C:C,G143)&gt;0</f>
        <v>1</v>
      </c>
    </row>
    <row r="144" spans="2:41" hidden="1" x14ac:dyDescent="0.25">
      <c r="C144" s="8" t="str">
        <f t="shared" si="25"/>
        <v/>
      </c>
      <c r="D144" s="8">
        <f t="shared" si="1"/>
        <v>0</v>
      </c>
      <c r="E144" s="8"/>
      <c r="F144" s="8"/>
      <c r="G144" s="8"/>
      <c r="H144" s="8"/>
      <c r="I144" s="8"/>
      <c r="J144" s="8"/>
      <c r="K144" s="8"/>
      <c r="L144" s="13" t="b">
        <f t="shared" si="2"/>
        <v>0</v>
      </c>
      <c r="N144" s="8"/>
      <c r="O144" s="13" t="b">
        <f t="shared" si="3"/>
        <v>0</v>
      </c>
      <c r="Q144" s="8"/>
      <c r="R144" s="13" t="b">
        <f t="shared" si="4"/>
        <v>0</v>
      </c>
      <c r="T144" s="8"/>
      <c r="U144" s="13" t="b">
        <f t="shared" si="5"/>
        <v>0</v>
      </c>
      <c r="W144" s="8"/>
      <c r="X144" s="13" t="b">
        <f t="shared" si="6"/>
        <v>0</v>
      </c>
      <c r="Z144" s="8"/>
      <c r="AA144" s="13" t="b">
        <f t="shared" si="7"/>
        <v>0</v>
      </c>
      <c r="AC144" s="8"/>
      <c r="AD144" s="13" t="b">
        <f t="shared" si="8"/>
        <v>0</v>
      </c>
      <c r="AF144" s="8"/>
      <c r="AG144" s="13" t="b">
        <f t="shared" si="9"/>
        <v>0</v>
      </c>
      <c r="AI144" s="8"/>
      <c r="AJ144" s="13" t="b">
        <f t="shared" si="10"/>
        <v>0</v>
      </c>
      <c r="AL144" s="8"/>
      <c r="AM144" s="13" t="b">
        <f t="shared" si="11"/>
        <v>0</v>
      </c>
      <c r="AO144" s="8" t="b">
        <f>COUNTIF(Rezultāti!C:C,G144)&gt;0</f>
        <v>0</v>
      </c>
    </row>
    <row r="145" spans="3:41" hidden="1" x14ac:dyDescent="0.25">
      <c r="C145" s="8" t="str">
        <f t="shared" si="25"/>
        <v/>
      </c>
      <c r="D145" s="8">
        <f t="shared" si="1"/>
        <v>0</v>
      </c>
      <c r="E145" s="8"/>
      <c r="F145" s="8"/>
      <c r="G145" s="8"/>
      <c r="H145" s="8"/>
      <c r="I145" s="8"/>
      <c r="J145" s="8"/>
      <c r="K145" s="8"/>
      <c r="L145" s="13" t="b">
        <f t="shared" si="2"/>
        <v>0</v>
      </c>
      <c r="N145" s="8"/>
      <c r="O145" s="13" t="b">
        <f t="shared" si="3"/>
        <v>0</v>
      </c>
      <c r="Q145" s="8"/>
      <c r="R145" s="13" t="b">
        <f t="shared" si="4"/>
        <v>0</v>
      </c>
      <c r="T145" s="8"/>
      <c r="U145" s="13" t="b">
        <f t="shared" si="5"/>
        <v>0</v>
      </c>
      <c r="W145" s="8"/>
      <c r="X145" s="13" t="b">
        <f t="shared" si="6"/>
        <v>0</v>
      </c>
      <c r="Z145" s="8"/>
      <c r="AA145" s="13" t="b">
        <f t="shared" si="7"/>
        <v>0</v>
      </c>
      <c r="AC145" s="8"/>
      <c r="AD145" s="13" t="b">
        <f t="shared" si="8"/>
        <v>0</v>
      </c>
      <c r="AF145" s="8"/>
      <c r="AG145" s="13" t="b">
        <f t="shared" si="9"/>
        <v>0</v>
      </c>
      <c r="AI145" s="8"/>
      <c r="AJ145" s="13" t="b">
        <f t="shared" si="10"/>
        <v>0</v>
      </c>
      <c r="AL145" s="8"/>
      <c r="AM145" s="13" t="b">
        <f t="shared" si="11"/>
        <v>0</v>
      </c>
      <c r="AO145" s="8" t="b">
        <f>COUNTIF(Rezultāti!C:C,G145)&gt;0</f>
        <v>0</v>
      </c>
    </row>
    <row r="146" spans="3:41" hidden="1" x14ac:dyDescent="0.25">
      <c r="C146" s="8" t="str">
        <f t="shared" si="25"/>
        <v/>
      </c>
      <c r="D146" s="8">
        <f t="shared" si="1"/>
        <v>0</v>
      </c>
      <c r="E146" s="8"/>
      <c r="F146" s="8"/>
      <c r="G146" s="8"/>
      <c r="H146" s="8"/>
      <c r="I146" s="8"/>
      <c r="J146" s="8"/>
      <c r="K146" s="8"/>
      <c r="L146" s="13" t="b">
        <f t="shared" si="2"/>
        <v>0</v>
      </c>
      <c r="N146" s="8"/>
      <c r="O146" s="13" t="b">
        <f t="shared" si="3"/>
        <v>0</v>
      </c>
      <c r="Q146" s="8"/>
      <c r="R146" s="13" t="b">
        <f t="shared" si="4"/>
        <v>0</v>
      </c>
      <c r="T146" s="8"/>
      <c r="U146" s="13" t="b">
        <f t="shared" si="5"/>
        <v>0</v>
      </c>
      <c r="W146" s="8"/>
      <c r="X146" s="13" t="b">
        <f t="shared" si="6"/>
        <v>0</v>
      </c>
      <c r="Z146" s="8"/>
      <c r="AA146" s="13" t="b">
        <f t="shared" si="7"/>
        <v>0</v>
      </c>
      <c r="AC146" s="8"/>
      <c r="AD146" s="13" t="b">
        <f t="shared" si="8"/>
        <v>0</v>
      </c>
      <c r="AF146" s="8"/>
      <c r="AG146" s="13" t="b">
        <f t="shared" si="9"/>
        <v>0</v>
      </c>
      <c r="AI146" s="8"/>
      <c r="AJ146" s="13" t="b">
        <f t="shared" si="10"/>
        <v>0</v>
      </c>
      <c r="AL146" s="8"/>
      <c r="AM146" s="13" t="b">
        <f t="shared" si="11"/>
        <v>0</v>
      </c>
      <c r="AO146" s="8" t="b">
        <f>COUNTIF(Rezultāti!C:C,G146)&gt;0</f>
        <v>0</v>
      </c>
    </row>
    <row r="147" spans="3:41" hidden="1" x14ac:dyDescent="0.25">
      <c r="C147" s="8" t="str">
        <f t="shared" si="25"/>
        <v/>
      </c>
      <c r="D147" s="8">
        <f t="shared" si="1"/>
        <v>0</v>
      </c>
      <c r="E147" s="8"/>
      <c r="F147" s="8"/>
      <c r="G147" s="8"/>
      <c r="H147" s="8"/>
      <c r="I147" s="8"/>
      <c r="J147" s="8"/>
      <c r="K147" s="8"/>
      <c r="L147" s="13" t="b">
        <f t="shared" si="2"/>
        <v>0</v>
      </c>
      <c r="N147" s="8"/>
      <c r="O147" s="13" t="b">
        <f t="shared" si="3"/>
        <v>0</v>
      </c>
      <c r="Q147" s="8"/>
      <c r="R147" s="13" t="b">
        <f t="shared" si="4"/>
        <v>0</v>
      </c>
      <c r="T147" s="8"/>
      <c r="U147" s="13" t="b">
        <f t="shared" si="5"/>
        <v>0</v>
      </c>
      <c r="W147" s="8"/>
      <c r="X147" s="13" t="b">
        <f t="shared" si="6"/>
        <v>0</v>
      </c>
      <c r="Z147" s="8"/>
      <c r="AA147" s="13" t="b">
        <f t="shared" si="7"/>
        <v>0</v>
      </c>
      <c r="AC147" s="8"/>
      <c r="AD147" s="13" t="b">
        <f t="shared" si="8"/>
        <v>0</v>
      </c>
      <c r="AF147" s="8"/>
      <c r="AG147" s="13" t="b">
        <f t="shared" si="9"/>
        <v>0</v>
      </c>
      <c r="AI147" s="8"/>
      <c r="AJ147" s="13" t="b">
        <f t="shared" si="10"/>
        <v>0</v>
      </c>
      <c r="AL147" s="8"/>
      <c r="AM147" s="13" t="b">
        <f t="shared" si="11"/>
        <v>0</v>
      </c>
      <c r="AO147" s="8" t="b">
        <f>COUNTIF(Rezultāti!C:C,G147)&gt;0</f>
        <v>0</v>
      </c>
    </row>
    <row r="148" spans="3:41" hidden="1" x14ac:dyDescent="0.25">
      <c r="C148" s="8" t="str">
        <f t="shared" si="25"/>
        <v/>
      </c>
      <c r="D148" s="8">
        <f t="shared" si="1"/>
        <v>0</v>
      </c>
      <c r="E148" s="8"/>
      <c r="F148" s="8"/>
      <c r="G148" s="8"/>
      <c r="H148" s="8"/>
      <c r="I148" s="8"/>
      <c r="J148" s="8"/>
      <c r="K148" s="8"/>
      <c r="L148" s="13" t="b">
        <f t="shared" si="2"/>
        <v>0</v>
      </c>
      <c r="N148" s="8"/>
      <c r="O148" s="13" t="b">
        <f t="shared" si="3"/>
        <v>0</v>
      </c>
      <c r="Q148" s="8"/>
      <c r="R148" s="13" t="b">
        <f t="shared" si="4"/>
        <v>0</v>
      </c>
      <c r="T148" s="8"/>
      <c r="U148" s="13" t="b">
        <f t="shared" si="5"/>
        <v>0</v>
      </c>
      <c r="W148" s="8"/>
      <c r="X148" s="13" t="b">
        <f t="shared" si="6"/>
        <v>0</v>
      </c>
      <c r="Z148" s="8"/>
      <c r="AA148" s="13" t="b">
        <f t="shared" si="7"/>
        <v>0</v>
      </c>
      <c r="AC148" s="8"/>
      <c r="AD148" s="13" t="b">
        <f t="shared" si="8"/>
        <v>0</v>
      </c>
      <c r="AF148" s="8"/>
      <c r="AG148" s="13" t="b">
        <f t="shared" si="9"/>
        <v>0</v>
      </c>
      <c r="AI148" s="8"/>
      <c r="AJ148" s="13" t="b">
        <f t="shared" si="10"/>
        <v>0</v>
      </c>
      <c r="AL148" s="8"/>
      <c r="AM148" s="13" t="b">
        <f t="shared" si="11"/>
        <v>0</v>
      </c>
      <c r="AO148" s="8" t="b">
        <f>COUNTIF(Rezultāti!C:C,G148)&gt;0</f>
        <v>0</v>
      </c>
    </row>
    <row r="149" spans="3:41" hidden="1" x14ac:dyDescent="0.25">
      <c r="C149" s="8" t="str">
        <f t="shared" si="25"/>
        <v/>
      </c>
      <c r="D149" s="8">
        <f t="shared" si="1"/>
        <v>0</v>
      </c>
      <c r="E149" s="8"/>
      <c r="F149" s="8"/>
      <c r="G149" s="8"/>
      <c r="H149" s="8"/>
      <c r="I149" s="8"/>
      <c r="J149" s="8"/>
      <c r="K149" s="8"/>
      <c r="L149" s="13" t="b">
        <f t="shared" si="2"/>
        <v>0</v>
      </c>
      <c r="N149" s="8"/>
      <c r="O149" s="13" t="b">
        <f t="shared" si="3"/>
        <v>0</v>
      </c>
      <c r="Q149" s="8"/>
      <c r="R149" s="13" t="b">
        <f t="shared" si="4"/>
        <v>0</v>
      </c>
      <c r="T149" s="8"/>
      <c r="U149" s="13" t="b">
        <f t="shared" si="5"/>
        <v>0</v>
      </c>
      <c r="W149" s="8"/>
      <c r="X149" s="13" t="b">
        <f t="shared" si="6"/>
        <v>0</v>
      </c>
      <c r="Z149" s="8"/>
      <c r="AA149" s="13" t="b">
        <f t="shared" si="7"/>
        <v>0</v>
      </c>
      <c r="AC149" s="8"/>
      <c r="AD149" s="13" t="b">
        <f t="shared" si="8"/>
        <v>0</v>
      </c>
      <c r="AF149" s="8"/>
      <c r="AG149" s="13" t="b">
        <f t="shared" si="9"/>
        <v>0</v>
      </c>
      <c r="AI149" s="8"/>
      <c r="AJ149" s="13" t="b">
        <f t="shared" si="10"/>
        <v>0</v>
      </c>
      <c r="AL149" s="8"/>
      <c r="AM149" s="13" t="b">
        <f t="shared" si="11"/>
        <v>0</v>
      </c>
      <c r="AO149" s="8" t="b">
        <f>COUNTIF(Rezultāti!C:C,G149)&gt;0</f>
        <v>0</v>
      </c>
    </row>
    <row r="150" spans="3:41" hidden="1" x14ac:dyDescent="0.25">
      <c r="C150" s="8">
        <f t="shared" si="25"/>
        <v>0</v>
      </c>
      <c r="D150" s="8">
        <f t="shared" si="1"/>
        <v>0</v>
      </c>
      <c r="E150" s="8"/>
      <c r="F150" s="8"/>
      <c r="G150" s="8"/>
      <c r="H150" s="8"/>
      <c r="I150" s="8"/>
      <c r="J150" s="8"/>
      <c r="K150" s="8"/>
      <c r="L150" s="13" t="b">
        <f t="shared" si="2"/>
        <v>0</v>
      </c>
      <c r="N150" s="8"/>
      <c r="O150" s="13" t="b">
        <f t="shared" si="3"/>
        <v>0</v>
      </c>
      <c r="Q150" s="8"/>
      <c r="R150" s="13" t="b">
        <f t="shared" si="4"/>
        <v>0</v>
      </c>
      <c r="T150" s="8"/>
      <c r="U150" s="13" t="b">
        <f t="shared" si="5"/>
        <v>0</v>
      </c>
      <c r="W150" s="8"/>
      <c r="X150" s="13" t="b">
        <f t="shared" si="6"/>
        <v>0</v>
      </c>
      <c r="Z150" s="8"/>
      <c r="AA150" s="13" t="b">
        <f t="shared" si="7"/>
        <v>0</v>
      </c>
      <c r="AC150" s="8"/>
      <c r="AD150" s="13" t="b">
        <f t="shared" si="8"/>
        <v>0</v>
      </c>
      <c r="AF150" s="8"/>
      <c r="AG150" s="13" t="b">
        <f t="shared" si="9"/>
        <v>0</v>
      </c>
      <c r="AI150" s="8"/>
      <c r="AJ150" s="13" t="b">
        <f t="shared" si="10"/>
        <v>0</v>
      </c>
      <c r="AL150" s="8"/>
      <c r="AM150" s="13" t="b">
        <f t="shared" si="11"/>
        <v>0</v>
      </c>
      <c r="AO150" s="8" t="b">
        <f>COUNTIF(Rezultāti!C:C,G150)&gt;0</f>
        <v>0</v>
      </c>
    </row>
    <row r="151" spans="3:41" x14ac:dyDescent="0.25">
      <c r="E151" s="8"/>
      <c r="F151" s="8"/>
      <c r="G151" s="8"/>
      <c r="H151" s="8"/>
      <c r="I151" s="8"/>
      <c r="J151" s="8"/>
      <c r="K151" s="8"/>
      <c r="N151" s="8"/>
      <c r="Q151" s="8"/>
      <c r="T151" s="8"/>
      <c r="W151" s="8"/>
      <c r="Z151" s="8"/>
      <c r="AC151" s="8"/>
      <c r="AF151" s="8"/>
      <c r="AI151" s="8"/>
      <c r="AL151" s="8"/>
    </row>
    <row r="152" spans="3:41" x14ac:dyDescent="0.25">
      <c r="E152" s="8"/>
      <c r="F152" s="8"/>
      <c r="G152" s="8"/>
      <c r="H152" s="8"/>
      <c r="I152" s="8"/>
      <c r="J152" s="8"/>
      <c r="K152" s="8"/>
      <c r="L152" s="8">
        <f ca="1">COUNTIF(L12:M143,TRUE)/COUNTA(L12:M143)</f>
        <v>0.11363636363636363</v>
      </c>
      <c r="N152" s="8"/>
      <c r="O152" s="8">
        <f ca="1">COUNTIF(O12:P143,TRUE)/COUNTA(O12:P143)</f>
        <v>0.80147058823529416</v>
      </c>
      <c r="Q152" s="8"/>
      <c r="R152" s="8">
        <f ca="1">COUNTIF(R12:S143,TRUE)/COUNTA(R12:S143)</f>
        <v>6.7164179104477612E-2</v>
      </c>
      <c r="T152" s="8"/>
      <c r="U152" s="8">
        <f ca="1">COUNTIF(U12:V143,TRUE)/COUNTA(U12:V143)</f>
        <v>0.18705035971223022</v>
      </c>
      <c r="W152" s="8"/>
      <c r="X152" s="8">
        <f ca="1">COUNTIF(X12:Y143,TRUE)/COUNTA(X12:Y143)</f>
        <v>0.72027972027972031</v>
      </c>
      <c r="Z152" s="8"/>
      <c r="AA152" s="8">
        <f ca="1">COUNTIF(AA12:AB143,TRUE)/COUNTA(AA12:AB143)</f>
        <v>5.3030303030303032E-2</v>
      </c>
      <c r="AC152" s="8"/>
      <c r="AD152" s="8">
        <f ca="1">COUNTIF(AD12:AE143,TRUE)/COUNTA(AD12:AE143)</f>
        <v>0.41044776119402987</v>
      </c>
      <c r="AF152" s="8"/>
      <c r="AG152" s="8">
        <f ca="1">COUNTIF(AG12:AH143,TRUE)/COUNTA(AG12:AH143)</f>
        <v>6.7669172932330823E-2</v>
      </c>
      <c r="AI152" s="8"/>
      <c r="AJ152" s="8">
        <f ca="1">COUNTIF(AJ12:AK143,TRUE)/COUNTA(AJ12:AK143)</f>
        <v>0.544973544973545</v>
      </c>
      <c r="AL152" s="8"/>
      <c r="AM152" s="8">
        <f ca="1">COUNTIF(AM12:AN143,TRUE)/COUNTA(AM12:AN143)</f>
        <v>0.77611940298507465</v>
      </c>
    </row>
    <row r="153" spans="3:41" x14ac:dyDescent="0.25">
      <c r="E153" s="8"/>
      <c r="F153" s="8"/>
      <c r="G153" s="8"/>
      <c r="H153" s="8"/>
      <c r="I153" s="8"/>
      <c r="J153" s="8"/>
      <c r="K153" s="8"/>
      <c r="N153" s="8"/>
      <c r="Q153" s="8"/>
      <c r="R153" s="8">
        <f ca="1">COUNTIF(R12:S143,TRUE)</f>
        <v>9</v>
      </c>
      <c r="T153" s="8"/>
      <c r="W153" s="8"/>
      <c r="X153" s="8">
        <f ca="1">COUNTIF(X12:Y143,TRUE)</f>
        <v>103</v>
      </c>
      <c r="Z153" s="8"/>
      <c r="AC153" s="8"/>
      <c r="AF153" s="8"/>
      <c r="AI153" s="8"/>
      <c r="AL153" s="8"/>
    </row>
    <row r="154" spans="3:41" x14ac:dyDescent="0.25">
      <c r="E154" s="8"/>
      <c r="F154" s="8"/>
      <c r="G154" s="8"/>
      <c r="H154" s="8"/>
      <c r="I154" s="8"/>
      <c r="J154" s="8"/>
      <c r="K154" s="8"/>
      <c r="N154" s="8"/>
      <c r="Q154" s="8"/>
      <c r="T154" s="8"/>
      <c r="W154" s="8"/>
      <c r="Z154" s="8"/>
      <c r="AC154" s="8"/>
      <c r="AF154" s="8"/>
      <c r="AI154" s="8"/>
      <c r="AL154" s="8"/>
    </row>
    <row r="155" spans="3:41" x14ac:dyDescent="0.25">
      <c r="E155" s="8"/>
      <c r="F155" s="8"/>
      <c r="G155" s="8"/>
      <c r="H155" s="8"/>
      <c r="I155" s="8"/>
      <c r="J155" s="8"/>
      <c r="K155" s="8"/>
      <c r="N155" s="8"/>
      <c r="Q155" s="8"/>
      <c r="T155" s="8"/>
      <c r="W155" s="8"/>
      <c r="Z155" s="8"/>
      <c r="AC155" s="8"/>
      <c r="AF155" s="8"/>
      <c r="AI155" s="8"/>
      <c r="AL155" s="8"/>
    </row>
    <row r="156" spans="3:41" x14ac:dyDescent="0.25">
      <c r="E156" s="8"/>
      <c r="F156" s="8"/>
      <c r="G156" s="8"/>
      <c r="H156" s="8"/>
      <c r="I156" s="8"/>
      <c r="J156" s="8"/>
      <c r="K156" s="8"/>
      <c r="N156" s="8"/>
      <c r="Q156" s="8"/>
      <c r="T156" s="8"/>
      <c r="W156" s="8"/>
      <c r="Z156" s="8"/>
      <c r="AC156" s="8"/>
      <c r="AF156" s="8"/>
      <c r="AI156" s="8"/>
      <c r="AL156" s="8"/>
    </row>
    <row r="157" spans="3:41" x14ac:dyDescent="0.25">
      <c r="E157" s="8"/>
      <c r="F157" s="8"/>
      <c r="G157" s="8"/>
      <c r="H157" s="8"/>
      <c r="I157" s="8"/>
      <c r="J157" s="8"/>
      <c r="K157" s="8"/>
      <c r="N157" s="8"/>
      <c r="Q157" s="8"/>
      <c r="T157" s="8"/>
      <c r="W157" s="8"/>
      <c r="Z157" s="8"/>
      <c r="AC157" s="8"/>
      <c r="AF157" s="8"/>
      <c r="AI157" s="8"/>
      <c r="AL157" s="8"/>
    </row>
    <row r="158" spans="3:41" x14ac:dyDescent="0.25">
      <c r="E158" s="8"/>
      <c r="F158" s="8"/>
      <c r="G158" s="8"/>
      <c r="H158" s="8"/>
      <c r="I158" s="8"/>
      <c r="J158" s="8"/>
      <c r="K158" s="8"/>
      <c r="N158" s="8"/>
      <c r="Q158" s="8"/>
      <c r="T158" s="8"/>
      <c r="W158" s="8"/>
      <c r="Z158" s="8"/>
      <c r="AC158" s="8"/>
      <c r="AF158" s="8"/>
      <c r="AI158" s="8"/>
      <c r="AL158" s="8"/>
    </row>
    <row r="159" spans="3:41" x14ac:dyDescent="0.25">
      <c r="E159" s="8"/>
      <c r="F159" s="8"/>
      <c r="G159" s="8"/>
      <c r="H159" s="8"/>
      <c r="I159" s="8"/>
      <c r="J159" s="8"/>
      <c r="K159" s="8"/>
      <c r="N159" s="8"/>
      <c r="Q159" s="8"/>
      <c r="T159" s="8"/>
      <c r="W159" s="8"/>
      <c r="Z159" s="8"/>
      <c r="AC159" s="8"/>
      <c r="AF159" s="8"/>
      <c r="AI159" s="8"/>
      <c r="AL159" s="8"/>
    </row>
    <row r="160" spans="3:41" x14ac:dyDescent="0.25">
      <c r="E160" s="8"/>
      <c r="F160" s="8"/>
      <c r="G160" s="8"/>
      <c r="H160" s="8"/>
      <c r="I160" s="8"/>
      <c r="J160" s="8"/>
      <c r="K160" s="8"/>
      <c r="N160" s="8"/>
      <c r="Q160" s="8"/>
      <c r="T160" s="8"/>
      <c r="W160" s="8"/>
      <c r="Z160" s="8"/>
      <c r="AC160" s="8"/>
      <c r="AF160" s="8"/>
      <c r="AI160" s="8"/>
      <c r="AL160" s="8"/>
    </row>
    <row r="161" spans="5:38" x14ac:dyDescent="0.25">
      <c r="E161" s="8"/>
      <c r="F161" s="8"/>
      <c r="G161" s="8"/>
      <c r="H161" s="8"/>
      <c r="I161" s="8"/>
      <c r="J161" s="8"/>
      <c r="K161" s="8"/>
      <c r="N161" s="8"/>
      <c r="Q161" s="8"/>
      <c r="T161" s="8"/>
      <c r="W161" s="8"/>
      <c r="Z161" s="8"/>
      <c r="AC161" s="8"/>
      <c r="AF161" s="8"/>
      <c r="AI161" s="8"/>
      <c r="AL161" s="8"/>
    </row>
    <row r="162" spans="5:38" x14ac:dyDescent="0.25">
      <c r="E162" s="8"/>
      <c r="F162" s="8"/>
      <c r="G162" s="8"/>
      <c r="H162" s="8"/>
      <c r="I162" s="8"/>
      <c r="J162" s="8"/>
      <c r="K162" s="8"/>
      <c r="N162" s="8"/>
      <c r="Q162" s="8"/>
      <c r="T162" s="8"/>
      <c r="W162" s="8"/>
      <c r="Z162" s="8"/>
      <c r="AC162" s="8"/>
      <c r="AF162" s="8"/>
      <c r="AI162" s="8"/>
      <c r="AL162" s="8"/>
    </row>
    <row r="163" spans="5:38" x14ac:dyDescent="0.25">
      <c r="E163" s="8"/>
      <c r="F163" s="8"/>
      <c r="G163" s="8"/>
      <c r="H163" s="8"/>
      <c r="I163" s="8"/>
      <c r="J163" s="8"/>
      <c r="K163" s="8"/>
      <c r="N163" s="8"/>
      <c r="Q163" s="8"/>
      <c r="T163" s="8"/>
      <c r="W163" s="8"/>
      <c r="Z163" s="8"/>
      <c r="AC163" s="8"/>
      <c r="AF163" s="8"/>
      <c r="AI163" s="8"/>
      <c r="AL163" s="8"/>
    </row>
    <row r="164" spans="5:38" x14ac:dyDescent="0.25">
      <c r="E164" s="8"/>
      <c r="F164" s="8"/>
      <c r="G164" s="8"/>
      <c r="H164" s="8"/>
      <c r="I164" s="8"/>
      <c r="J164" s="8"/>
      <c r="K164" s="8"/>
      <c r="N164" s="8"/>
      <c r="Q164" s="8"/>
      <c r="T164" s="8"/>
      <c r="W164" s="8"/>
      <c r="Z164" s="8"/>
      <c r="AC164" s="8"/>
      <c r="AF164" s="8"/>
      <c r="AI164" s="8"/>
      <c r="AL164" s="8"/>
    </row>
    <row r="165" spans="5:38" x14ac:dyDescent="0.25">
      <c r="E165" s="8"/>
      <c r="F165" s="8"/>
      <c r="G165" s="8"/>
      <c r="H165" s="8"/>
      <c r="I165" s="8"/>
      <c r="J165" s="8"/>
      <c r="K165" s="8"/>
      <c r="N165" s="8"/>
      <c r="Q165" s="8"/>
      <c r="T165" s="8"/>
      <c r="W165" s="8"/>
      <c r="Z165" s="8"/>
      <c r="AC165" s="8"/>
      <c r="AF165" s="8"/>
      <c r="AI165" s="8"/>
      <c r="AL165" s="8"/>
    </row>
    <row r="166" spans="5:38" x14ac:dyDescent="0.25">
      <c r="E166" s="8"/>
      <c r="F166" s="8"/>
      <c r="G166" s="8"/>
      <c r="H166" s="8"/>
      <c r="I166" s="8"/>
      <c r="J166" s="8"/>
      <c r="K166" s="8"/>
      <c r="N166" s="8"/>
      <c r="Q166" s="8"/>
      <c r="T166" s="8"/>
      <c r="W166" s="8"/>
      <c r="Z166" s="8"/>
      <c r="AC166" s="8"/>
      <c r="AF166" s="8"/>
      <c r="AI166" s="8"/>
      <c r="AL166" s="8"/>
    </row>
    <row r="167" spans="5:38" x14ac:dyDescent="0.25">
      <c r="E167" s="8"/>
      <c r="F167" s="8"/>
      <c r="G167" s="8"/>
      <c r="H167" s="8"/>
      <c r="I167" s="8"/>
      <c r="J167" s="8"/>
      <c r="K167" s="8"/>
      <c r="N167" s="8"/>
      <c r="Q167" s="8"/>
      <c r="T167" s="8"/>
      <c r="W167" s="8"/>
      <c r="Z167" s="8"/>
      <c r="AC167" s="8"/>
      <c r="AF167" s="8"/>
      <c r="AI167" s="8"/>
      <c r="AL167" s="8"/>
    </row>
    <row r="168" spans="5:38" x14ac:dyDescent="0.25">
      <c r="E168" s="8"/>
      <c r="F168" s="8"/>
      <c r="G168" s="8"/>
      <c r="H168" s="8"/>
      <c r="I168" s="8"/>
      <c r="J168" s="8"/>
      <c r="K168" s="8"/>
      <c r="N168" s="8"/>
      <c r="Q168" s="8"/>
      <c r="T168" s="8"/>
      <c r="W168" s="8"/>
      <c r="Z168" s="8"/>
      <c r="AC168" s="8"/>
      <c r="AF168" s="8"/>
      <c r="AI168" s="8"/>
      <c r="AL168" s="8"/>
    </row>
    <row r="169" spans="5:38" x14ac:dyDescent="0.25">
      <c r="E169" s="8"/>
      <c r="F169" s="8"/>
      <c r="G169" s="8"/>
      <c r="H169" s="8"/>
      <c r="I169" s="8"/>
      <c r="J169" s="8"/>
      <c r="K169" s="8"/>
      <c r="N169" s="8"/>
      <c r="Q169" s="8"/>
      <c r="T169" s="8"/>
      <c r="W169" s="8"/>
      <c r="Z169" s="8"/>
      <c r="AC169" s="8"/>
      <c r="AF169" s="8"/>
      <c r="AI169" s="8"/>
      <c r="AL169" s="8"/>
    </row>
    <row r="170" spans="5:38" x14ac:dyDescent="0.25">
      <c r="E170" s="8"/>
      <c r="F170" s="8"/>
      <c r="G170" s="8"/>
      <c r="H170" s="8"/>
      <c r="I170" s="8"/>
      <c r="J170" s="8"/>
      <c r="K170" s="8"/>
      <c r="N170" s="8"/>
      <c r="Q170" s="8"/>
      <c r="T170" s="8"/>
      <c r="W170" s="8"/>
      <c r="Z170" s="8"/>
      <c r="AC170" s="8"/>
      <c r="AF170" s="8"/>
      <c r="AI170" s="8"/>
      <c r="AL170" s="8"/>
    </row>
    <row r="171" spans="5:38" x14ac:dyDescent="0.25">
      <c r="E171" s="8"/>
      <c r="F171" s="8"/>
      <c r="G171" s="8"/>
      <c r="H171" s="8"/>
      <c r="I171" s="8"/>
      <c r="J171" s="8"/>
      <c r="K171" s="8"/>
      <c r="N171" s="8"/>
      <c r="Q171" s="8"/>
      <c r="T171" s="8"/>
      <c r="W171" s="8"/>
      <c r="Z171" s="8"/>
      <c r="AC171" s="8"/>
      <c r="AF171" s="8"/>
      <c r="AI171" s="8"/>
      <c r="AL171" s="8"/>
    </row>
    <row r="172" spans="5:38" x14ac:dyDescent="0.25">
      <c r="E172" s="8"/>
      <c r="F172" s="8"/>
      <c r="G172" s="8"/>
      <c r="H172" s="8"/>
      <c r="I172" s="8"/>
      <c r="J172" s="8"/>
      <c r="K172" s="8"/>
      <c r="N172" s="8"/>
      <c r="Q172" s="8"/>
      <c r="T172" s="8"/>
      <c r="W172" s="8"/>
      <c r="Z172" s="8"/>
      <c r="AC172" s="8"/>
      <c r="AF172" s="8"/>
      <c r="AI172" s="8"/>
      <c r="AL172" s="8"/>
    </row>
    <row r="173" spans="5:38" x14ac:dyDescent="0.25">
      <c r="E173" s="8"/>
      <c r="F173" s="8"/>
      <c r="G173" s="8"/>
      <c r="H173" s="8"/>
      <c r="I173" s="8"/>
      <c r="J173" s="8"/>
      <c r="K173" s="8"/>
      <c r="N173" s="8"/>
      <c r="Q173" s="8"/>
      <c r="T173" s="8"/>
      <c r="W173" s="8"/>
      <c r="Z173" s="8"/>
      <c r="AC173" s="8"/>
      <c r="AF173" s="8"/>
      <c r="AI173" s="8"/>
      <c r="AL173" s="8"/>
    </row>
    <row r="174" spans="5:38" x14ac:dyDescent="0.25">
      <c r="E174" s="8"/>
      <c r="F174" s="8"/>
      <c r="G174" s="8"/>
      <c r="H174" s="8"/>
      <c r="I174" s="8"/>
      <c r="J174" s="8"/>
      <c r="K174" s="8"/>
      <c r="N174" s="8"/>
      <c r="Q174" s="8"/>
      <c r="T174" s="8"/>
      <c r="W174" s="8"/>
      <c r="Z174" s="8"/>
      <c r="AC174" s="8"/>
      <c r="AF174" s="8"/>
      <c r="AI174" s="8"/>
      <c r="AL174" s="8"/>
    </row>
    <row r="175" spans="5:38" x14ac:dyDescent="0.25">
      <c r="E175" s="8"/>
      <c r="F175" s="8"/>
      <c r="G175" s="8"/>
      <c r="H175" s="8"/>
      <c r="I175" s="8"/>
      <c r="J175" s="8"/>
      <c r="K175" s="8"/>
      <c r="N175" s="8"/>
      <c r="Q175" s="8"/>
      <c r="T175" s="8"/>
      <c r="W175" s="8"/>
      <c r="Z175" s="8"/>
      <c r="AC175" s="8"/>
      <c r="AF175" s="8"/>
      <c r="AI175" s="8"/>
      <c r="AL175" s="8"/>
    </row>
    <row r="176" spans="5:38" x14ac:dyDescent="0.25">
      <c r="E176" s="8"/>
      <c r="F176" s="8"/>
      <c r="G176" s="8"/>
      <c r="H176" s="8"/>
      <c r="I176" s="8"/>
      <c r="J176" s="8"/>
      <c r="K176" s="8"/>
      <c r="N176" s="8"/>
      <c r="Q176" s="8"/>
      <c r="T176" s="8"/>
      <c r="W176" s="8"/>
      <c r="Z176" s="8"/>
      <c r="AC176" s="8"/>
      <c r="AF176" s="8"/>
      <c r="AI176" s="8"/>
      <c r="AL176" s="8"/>
    </row>
    <row r="177" spans="5:38" x14ac:dyDescent="0.25">
      <c r="E177" s="8"/>
      <c r="F177" s="8"/>
      <c r="G177" s="8"/>
      <c r="H177" s="8"/>
      <c r="I177" s="8"/>
      <c r="J177" s="8"/>
      <c r="K177" s="8"/>
      <c r="N177" s="8"/>
      <c r="Q177" s="8"/>
      <c r="T177" s="8"/>
      <c r="W177" s="8"/>
      <c r="Z177" s="8"/>
      <c r="AC177" s="8"/>
      <c r="AF177" s="8"/>
      <c r="AI177" s="8"/>
      <c r="AL177" s="8"/>
    </row>
    <row r="178" spans="5:38" x14ac:dyDescent="0.25">
      <c r="E178" s="8"/>
      <c r="F178" s="8"/>
      <c r="G178" s="8"/>
      <c r="H178" s="8"/>
      <c r="I178" s="8"/>
      <c r="J178" s="8"/>
      <c r="K178" s="8"/>
      <c r="N178" s="8"/>
      <c r="Q178" s="8"/>
      <c r="T178" s="8"/>
      <c r="W178" s="8"/>
      <c r="Z178" s="8"/>
      <c r="AC178" s="8"/>
      <c r="AF178" s="8"/>
      <c r="AI178" s="8"/>
      <c r="AL178" s="8"/>
    </row>
    <row r="179" spans="5:38" x14ac:dyDescent="0.25">
      <c r="E179" s="8"/>
      <c r="F179" s="8"/>
      <c r="G179" s="8"/>
      <c r="H179" s="8"/>
      <c r="I179" s="8"/>
      <c r="J179" s="8"/>
      <c r="K179" s="8"/>
      <c r="N179" s="8"/>
      <c r="Q179" s="8"/>
      <c r="T179" s="8"/>
      <c r="W179" s="8"/>
      <c r="Z179" s="8"/>
      <c r="AC179" s="8"/>
      <c r="AF179" s="8"/>
      <c r="AI179" s="8"/>
      <c r="AL179" s="8"/>
    </row>
    <row r="180" spans="5:38" x14ac:dyDescent="0.25">
      <c r="E180" s="8"/>
      <c r="F180" s="8"/>
      <c r="G180" s="8"/>
      <c r="H180" s="8"/>
      <c r="I180" s="8"/>
      <c r="J180" s="8"/>
      <c r="K180" s="8"/>
      <c r="N180" s="8"/>
      <c r="Q180" s="8"/>
      <c r="T180" s="8"/>
      <c r="W180" s="8"/>
      <c r="Z180" s="8"/>
      <c r="AC180" s="8"/>
      <c r="AF180" s="8"/>
      <c r="AI180" s="8"/>
      <c r="AL180" s="8"/>
    </row>
    <row r="181" spans="5:38" x14ac:dyDescent="0.25">
      <c r="E181" s="8"/>
      <c r="F181" s="8"/>
      <c r="G181" s="8"/>
      <c r="H181" s="8"/>
      <c r="I181" s="8"/>
      <c r="J181" s="8"/>
      <c r="K181" s="8"/>
      <c r="N181" s="8"/>
      <c r="Q181" s="8"/>
      <c r="T181" s="8"/>
      <c r="W181" s="8"/>
      <c r="Z181" s="8"/>
      <c r="AC181" s="8"/>
      <c r="AF181" s="8"/>
      <c r="AI181" s="8"/>
      <c r="AL181" s="8"/>
    </row>
    <row r="182" spans="5:38" x14ac:dyDescent="0.25">
      <c r="E182" s="8"/>
      <c r="F182" s="8"/>
      <c r="G182" s="8"/>
      <c r="H182" s="8"/>
      <c r="I182" s="8"/>
      <c r="J182" s="8"/>
      <c r="K182" s="8"/>
      <c r="N182" s="8"/>
      <c r="Q182" s="8"/>
      <c r="T182" s="8"/>
      <c r="W182" s="8"/>
      <c r="Z182" s="8"/>
      <c r="AC182" s="8"/>
      <c r="AF182" s="8"/>
      <c r="AI182" s="8"/>
      <c r="AL182" s="8"/>
    </row>
    <row r="183" spans="5:38" x14ac:dyDescent="0.25">
      <c r="E183" s="8"/>
      <c r="F183" s="8"/>
      <c r="G183" s="8"/>
      <c r="H183" s="8"/>
      <c r="I183" s="8"/>
      <c r="J183" s="8"/>
      <c r="K183" s="8"/>
      <c r="N183" s="8"/>
      <c r="Q183" s="8"/>
      <c r="T183" s="8"/>
      <c r="W183" s="8"/>
      <c r="Z183" s="8"/>
      <c r="AC183" s="8"/>
      <c r="AF183" s="8"/>
      <c r="AI183" s="8"/>
      <c r="AL183" s="8"/>
    </row>
    <row r="184" spans="5:38" x14ac:dyDescent="0.25">
      <c r="E184" s="8"/>
      <c r="F184" s="8"/>
      <c r="G184" s="8"/>
      <c r="H184" s="8"/>
      <c r="I184" s="8"/>
      <c r="J184" s="8"/>
      <c r="K184" s="8"/>
      <c r="N184" s="8"/>
      <c r="Q184" s="8"/>
      <c r="T184" s="8"/>
      <c r="W184" s="8"/>
      <c r="Z184" s="8"/>
      <c r="AC184" s="8"/>
      <c r="AF184" s="8"/>
      <c r="AI184" s="8"/>
      <c r="AL184" s="8"/>
    </row>
    <row r="185" spans="5:38" x14ac:dyDescent="0.25">
      <c r="E185" s="8"/>
      <c r="F185" s="8"/>
      <c r="G185" s="8"/>
      <c r="H185" s="8"/>
      <c r="I185" s="8"/>
      <c r="J185" s="8"/>
      <c r="K185" s="8"/>
      <c r="N185" s="8"/>
      <c r="Q185" s="8"/>
      <c r="T185" s="8"/>
      <c r="W185" s="8"/>
      <c r="Z185" s="8"/>
      <c r="AC185" s="8"/>
      <c r="AF185" s="8"/>
      <c r="AI185" s="8"/>
      <c r="AL185" s="8"/>
    </row>
    <row r="186" spans="5:38" x14ac:dyDescent="0.25">
      <c r="E186" s="8"/>
      <c r="F186" s="8"/>
      <c r="G186" s="8"/>
      <c r="H186" s="8"/>
      <c r="I186" s="8"/>
      <c r="J186" s="8"/>
      <c r="K186" s="8"/>
      <c r="N186" s="8"/>
      <c r="Q186" s="8"/>
      <c r="T186" s="8"/>
      <c r="W186" s="8"/>
      <c r="Z186" s="8"/>
      <c r="AC186" s="8"/>
      <c r="AF186" s="8"/>
      <c r="AI186" s="8"/>
      <c r="AL186" s="8"/>
    </row>
    <row r="187" spans="5:38" x14ac:dyDescent="0.25">
      <c r="E187" s="8"/>
      <c r="F187" s="8"/>
      <c r="G187" s="8"/>
      <c r="H187" s="8"/>
      <c r="I187" s="8"/>
      <c r="J187" s="8"/>
      <c r="K187" s="8"/>
      <c r="N187" s="8"/>
      <c r="Q187" s="8"/>
      <c r="T187" s="8"/>
      <c r="W187" s="8"/>
      <c r="Z187" s="8"/>
      <c r="AC187" s="8"/>
      <c r="AF187" s="8"/>
      <c r="AI187" s="8"/>
      <c r="AL187" s="8"/>
    </row>
    <row r="188" spans="5:38" x14ac:dyDescent="0.25">
      <c r="E188" s="8"/>
      <c r="F188" s="8"/>
      <c r="G188" s="8"/>
      <c r="H188" s="8"/>
      <c r="I188" s="8"/>
      <c r="J188" s="8"/>
      <c r="K188" s="8"/>
      <c r="N188" s="8"/>
      <c r="Q188" s="8"/>
      <c r="T188" s="8"/>
      <c r="W188" s="8"/>
      <c r="Z188" s="8"/>
      <c r="AC188" s="8"/>
      <c r="AF188" s="8"/>
      <c r="AI188" s="8"/>
      <c r="AL188" s="8"/>
    </row>
    <row r="189" spans="5:38" x14ac:dyDescent="0.25">
      <c r="E189" s="8"/>
      <c r="F189" s="8"/>
      <c r="G189" s="8"/>
      <c r="H189" s="8"/>
      <c r="I189" s="8"/>
      <c r="J189" s="8"/>
      <c r="K189" s="8"/>
      <c r="N189" s="8"/>
      <c r="Q189" s="8"/>
      <c r="T189" s="8"/>
      <c r="W189" s="8"/>
      <c r="Z189" s="8"/>
      <c r="AC189" s="8"/>
      <c r="AF189" s="8"/>
      <c r="AI189" s="8"/>
      <c r="AL189" s="8"/>
    </row>
    <row r="190" spans="5:38" x14ac:dyDescent="0.25">
      <c r="E190" s="8"/>
      <c r="F190" s="8"/>
      <c r="G190" s="8"/>
      <c r="H190" s="8"/>
      <c r="I190" s="8"/>
      <c r="J190" s="8"/>
      <c r="K190" s="8"/>
      <c r="N190" s="8"/>
      <c r="Q190" s="8"/>
      <c r="T190" s="8"/>
      <c r="W190" s="8"/>
      <c r="Z190" s="8"/>
      <c r="AC190" s="8"/>
      <c r="AF190" s="8"/>
      <c r="AI190" s="8"/>
      <c r="AL190" s="8"/>
    </row>
    <row r="191" spans="5:38" x14ac:dyDescent="0.25">
      <c r="E191" s="8"/>
      <c r="F191" s="8"/>
      <c r="G191" s="8"/>
      <c r="H191" s="8"/>
      <c r="I191" s="8"/>
      <c r="J191" s="8"/>
      <c r="K191" s="8"/>
      <c r="N191" s="8"/>
      <c r="Q191" s="8"/>
      <c r="T191" s="8"/>
      <c r="W191" s="8"/>
      <c r="Z191" s="8"/>
      <c r="AC191" s="8"/>
      <c r="AF191" s="8"/>
      <c r="AI191" s="8"/>
      <c r="AL191" s="8"/>
    </row>
    <row r="192" spans="5:38" x14ac:dyDescent="0.25">
      <c r="E192" s="8"/>
      <c r="F192" s="8"/>
      <c r="G192" s="8"/>
      <c r="H192" s="8"/>
      <c r="I192" s="8"/>
      <c r="J192" s="8"/>
      <c r="K192" s="8"/>
      <c r="N192" s="8"/>
      <c r="Q192" s="8"/>
      <c r="T192" s="8"/>
      <c r="W192" s="8"/>
      <c r="Z192" s="8"/>
      <c r="AC192" s="8"/>
      <c r="AF192" s="8"/>
      <c r="AI192" s="8"/>
      <c r="AL192" s="8"/>
    </row>
    <row r="193" spans="5:38" x14ac:dyDescent="0.25">
      <c r="E193" s="8"/>
      <c r="F193" s="8"/>
      <c r="G193" s="8"/>
      <c r="H193" s="8"/>
      <c r="I193" s="8"/>
      <c r="J193" s="8"/>
      <c r="K193" s="8"/>
      <c r="N193" s="8"/>
      <c r="Q193" s="8"/>
      <c r="T193" s="8"/>
      <c r="W193" s="8"/>
      <c r="Z193" s="8"/>
      <c r="AC193" s="8"/>
      <c r="AF193" s="8"/>
      <c r="AI193" s="8"/>
      <c r="AL193" s="8"/>
    </row>
    <row r="194" spans="5:38" x14ac:dyDescent="0.25">
      <c r="E194" s="8"/>
      <c r="F194" s="8"/>
      <c r="G194" s="8"/>
      <c r="H194" s="8"/>
      <c r="I194" s="8"/>
      <c r="J194" s="8"/>
      <c r="K194" s="8"/>
      <c r="N194" s="8"/>
      <c r="Q194" s="8"/>
      <c r="T194" s="8"/>
      <c r="W194" s="8"/>
      <c r="Z194" s="8"/>
      <c r="AC194" s="8"/>
      <c r="AF194" s="8"/>
      <c r="AI194" s="8"/>
      <c r="AL194" s="8"/>
    </row>
    <row r="195" spans="5:38" x14ac:dyDescent="0.25">
      <c r="E195" s="8"/>
      <c r="F195" s="8"/>
      <c r="G195" s="8"/>
      <c r="H195" s="8"/>
      <c r="I195" s="8"/>
      <c r="J195" s="8"/>
      <c r="K195" s="8"/>
      <c r="N195" s="8"/>
      <c r="Q195" s="8"/>
      <c r="T195" s="8"/>
      <c r="W195" s="8"/>
      <c r="Z195" s="8"/>
      <c r="AC195" s="8"/>
      <c r="AF195" s="8"/>
      <c r="AI195" s="8"/>
      <c r="AL195" s="8"/>
    </row>
    <row r="196" spans="5:38" x14ac:dyDescent="0.25">
      <c r="E196" s="8"/>
      <c r="F196" s="8"/>
      <c r="G196" s="8"/>
      <c r="H196" s="8"/>
      <c r="I196" s="8"/>
      <c r="J196" s="8"/>
      <c r="K196" s="8"/>
      <c r="N196" s="8"/>
      <c r="Q196" s="8"/>
      <c r="T196" s="8"/>
      <c r="W196" s="8"/>
      <c r="Z196" s="8"/>
      <c r="AC196" s="8"/>
      <c r="AF196" s="8"/>
      <c r="AI196" s="8"/>
      <c r="AL196" s="8"/>
    </row>
    <row r="197" spans="5:38" x14ac:dyDescent="0.25">
      <c r="E197" s="8"/>
      <c r="F197" s="8"/>
      <c r="G197" s="8"/>
      <c r="H197" s="8"/>
      <c r="I197" s="8"/>
      <c r="J197" s="8"/>
      <c r="K197" s="8"/>
      <c r="N197" s="8"/>
      <c r="Q197" s="8"/>
      <c r="T197" s="8"/>
      <c r="W197" s="8"/>
      <c r="Z197" s="8"/>
      <c r="AC197" s="8"/>
      <c r="AF197" s="8"/>
      <c r="AI197" s="8"/>
      <c r="AL197" s="8"/>
    </row>
    <row r="198" spans="5:38" x14ac:dyDescent="0.25">
      <c r="E198" s="8"/>
      <c r="F198" s="8"/>
      <c r="G198" s="8"/>
      <c r="H198" s="8"/>
      <c r="I198" s="8"/>
      <c r="J198" s="8"/>
      <c r="K198" s="8"/>
      <c r="N198" s="8"/>
      <c r="Q198" s="8"/>
      <c r="T198" s="8"/>
      <c r="W198" s="8"/>
      <c r="Z198" s="8"/>
      <c r="AC198" s="8"/>
      <c r="AF198" s="8"/>
      <c r="AI198" s="8"/>
      <c r="AL198" s="8"/>
    </row>
    <row r="199" spans="5:38" x14ac:dyDescent="0.25">
      <c r="E199" s="8"/>
      <c r="F199" s="8"/>
      <c r="G199" s="8"/>
      <c r="H199" s="8"/>
      <c r="I199" s="8"/>
      <c r="J199" s="8"/>
      <c r="K199" s="8"/>
      <c r="N199" s="8"/>
      <c r="Q199" s="8"/>
      <c r="T199" s="8"/>
      <c r="W199" s="8"/>
      <c r="Z199" s="8"/>
      <c r="AC199" s="8"/>
      <c r="AF199" s="8"/>
      <c r="AI199" s="8"/>
      <c r="AL199" s="8"/>
    </row>
    <row r="200" spans="5:38" x14ac:dyDescent="0.25">
      <c r="E200" s="8"/>
      <c r="F200" s="8"/>
      <c r="G200" s="8"/>
      <c r="H200" s="8"/>
      <c r="I200" s="8"/>
      <c r="J200" s="8"/>
      <c r="K200" s="8"/>
      <c r="N200" s="8"/>
      <c r="Q200" s="8"/>
      <c r="T200" s="8"/>
      <c r="W200" s="8"/>
      <c r="Z200" s="8"/>
      <c r="AC200" s="8"/>
      <c r="AF200" s="8"/>
      <c r="AI200" s="8"/>
      <c r="AL200" s="8"/>
    </row>
    <row r="201" spans="5:38" x14ac:dyDescent="0.25">
      <c r="E201" s="8"/>
      <c r="F201" s="8"/>
      <c r="G201" s="8"/>
      <c r="H201" s="8"/>
      <c r="I201" s="8"/>
      <c r="J201" s="8"/>
      <c r="K201" s="8"/>
      <c r="N201" s="8"/>
      <c r="Q201" s="8"/>
      <c r="T201" s="8"/>
      <c r="W201" s="8"/>
      <c r="Z201" s="8"/>
      <c r="AC201" s="8"/>
      <c r="AF201" s="8"/>
      <c r="AI201" s="8"/>
      <c r="AL201" s="8"/>
    </row>
    <row r="202" spans="5:38" x14ac:dyDescent="0.25">
      <c r="E202" s="8"/>
      <c r="F202" s="8"/>
      <c r="G202" s="8"/>
      <c r="H202" s="8"/>
      <c r="I202" s="8"/>
      <c r="J202" s="8"/>
      <c r="K202" s="8"/>
      <c r="N202" s="8"/>
      <c r="Q202" s="8"/>
      <c r="T202" s="8"/>
      <c r="W202" s="8"/>
      <c r="Z202" s="8"/>
      <c r="AC202" s="8"/>
      <c r="AF202" s="8"/>
      <c r="AI202" s="8"/>
      <c r="AL202" s="8"/>
    </row>
    <row r="203" spans="5:38" x14ac:dyDescent="0.25">
      <c r="E203" s="8"/>
      <c r="F203" s="8"/>
      <c r="G203" s="8"/>
      <c r="H203" s="8"/>
      <c r="I203" s="8"/>
      <c r="J203" s="8"/>
      <c r="K203" s="8"/>
      <c r="N203" s="8"/>
      <c r="Q203" s="8"/>
      <c r="T203" s="8"/>
      <c r="W203" s="8"/>
      <c r="Z203" s="8"/>
      <c r="AC203" s="8"/>
      <c r="AF203" s="8"/>
      <c r="AI203" s="8"/>
      <c r="AL203" s="8"/>
    </row>
    <row r="204" spans="5:38" x14ac:dyDescent="0.25">
      <c r="E204" s="8"/>
      <c r="F204" s="8"/>
      <c r="G204" s="8"/>
      <c r="H204" s="8"/>
      <c r="I204" s="8"/>
      <c r="J204" s="8"/>
      <c r="K204" s="8"/>
      <c r="N204" s="8"/>
      <c r="Q204" s="8"/>
      <c r="T204" s="8"/>
      <c r="W204" s="8"/>
      <c r="Z204" s="8"/>
      <c r="AC204" s="8"/>
      <c r="AF204" s="8"/>
      <c r="AI204" s="8"/>
      <c r="AL204" s="8"/>
    </row>
    <row r="205" spans="5:38" x14ac:dyDescent="0.25">
      <c r="E205" s="8"/>
      <c r="F205" s="8"/>
      <c r="G205" s="8"/>
      <c r="H205" s="8"/>
      <c r="I205" s="8"/>
      <c r="J205" s="8"/>
      <c r="K205" s="8"/>
      <c r="N205" s="8"/>
      <c r="Q205" s="8"/>
      <c r="T205" s="8"/>
      <c r="W205" s="8"/>
      <c r="Z205" s="8"/>
      <c r="AC205" s="8"/>
      <c r="AF205" s="8"/>
      <c r="AI205" s="8"/>
      <c r="AL205" s="8"/>
    </row>
    <row r="206" spans="5:38" x14ac:dyDescent="0.25">
      <c r="E206" s="8"/>
      <c r="F206" s="8"/>
      <c r="G206" s="8"/>
      <c r="H206" s="8"/>
      <c r="I206" s="8"/>
      <c r="J206" s="8"/>
      <c r="K206" s="8"/>
      <c r="N206" s="8"/>
      <c r="Q206" s="8"/>
      <c r="T206" s="8"/>
      <c r="W206" s="8"/>
      <c r="Z206" s="8"/>
      <c r="AC206" s="8"/>
      <c r="AF206" s="8"/>
      <c r="AI206" s="8"/>
      <c r="AL206" s="8"/>
    </row>
    <row r="207" spans="5:38" x14ac:dyDescent="0.25">
      <c r="E207" s="8"/>
      <c r="F207" s="8"/>
      <c r="G207" s="8"/>
      <c r="H207" s="8"/>
      <c r="I207" s="8"/>
      <c r="J207" s="8"/>
      <c r="K207" s="8"/>
      <c r="N207" s="8"/>
      <c r="Q207" s="8"/>
      <c r="T207" s="8"/>
      <c r="W207" s="8"/>
      <c r="Z207" s="8"/>
      <c r="AC207" s="8"/>
      <c r="AF207" s="8"/>
      <c r="AI207" s="8"/>
      <c r="AL207" s="8"/>
    </row>
    <row r="208" spans="5:38" x14ac:dyDescent="0.25">
      <c r="E208" s="8"/>
      <c r="F208" s="8"/>
      <c r="G208" s="8"/>
      <c r="H208" s="8"/>
      <c r="I208" s="8"/>
      <c r="J208" s="8"/>
      <c r="K208" s="8"/>
      <c r="N208" s="8"/>
      <c r="Q208" s="8"/>
      <c r="T208" s="8"/>
      <c r="W208" s="8"/>
      <c r="Z208" s="8"/>
      <c r="AC208" s="8"/>
      <c r="AF208" s="8"/>
      <c r="AI208" s="8"/>
      <c r="AL208" s="8"/>
    </row>
    <row r="209" spans="5:38" x14ac:dyDescent="0.25">
      <c r="E209" s="8"/>
      <c r="F209" s="8"/>
      <c r="G209" s="8"/>
      <c r="H209" s="8"/>
      <c r="I209" s="8"/>
      <c r="J209" s="8"/>
      <c r="K209" s="8"/>
      <c r="N209" s="8"/>
      <c r="Q209" s="8"/>
      <c r="T209" s="8"/>
      <c r="W209" s="8"/>
      <c r="Z209" s="8"/>
      <c r="AC209" s="8"/>
      <c r="AF209" s="8"/>
      <c r="AI209" s="8"/>
      <c r="AL209" s="8"/>
    </row>
    <row r="210" spans="5:38" x14ac:dyDescent="0.25">
      <c r="E210" s="8"/>
      <c r="F210" s="8"/>
      <c r="G210" s="8"/>
      <c r="H210" s="8"/>
      <c r="I210" s="8"/>
      <c r="J210" s="8"/>
      <c r="K210" s="8"/>
      <c r="N210" s="8"/>
      <c r="Q210" s="8"/>
      <c r="T210" s="8"/>
      <c r="W210" s="8"/>
      <c r="Z210" s="8"/>
      <c r="AC210" s="8"/>
      <c r="AF210" s="8"/>
      <c r="AI210" s="8"/>
      <c r="AL210" s="8"/>
    </row>
    <row r="211" spans="5:38" x14ac:dyDescent="0.25">
      <c r="E211" s="8"/>
      <c r="F211" s="8"/>
      <c r="G211" s="8"/>
      <c r="H211" s="8"/>
      <c r="I211" s="8"/>
      <c r="J211" s="8"/>
      <c r="K211" s="8"/>
      <c r="N211" s="8"/>
      <c r="Q211" s="8"/>
      <c r="T211" s="8"/>
      <c r="W211" s="8"/>
      <c r="Z211" s="8"/>
      <c r="AC211" s="8"/>
      <c r="AF211" s="8"/>
      <c r="AI211" s="8"/>
      <c r="AL211" s="8"/>
    </row>
    <row r="212" spans="5:38" x14ac:dyDescent="0.25">
      <c r="E212" s="8"/>
      <c r="F212" s="8"/>
      <c r="G212" s="8"/>
      <c r="H212" s="8"/>
      <c r="I212" s="8"/>
      <c r="J212" s="8"/>
      <c r="K212" s="8"/>
      <c r="N212" s="8"/>
      <c r="Q212" s="8"/>
      <c r="T212" s="8"/>
      <c r="W212" s="8"/>
      <c r="Z212" s="8"/>
      <c r="AC212" s="8"/>
      <c r="AF212" s="8"/>
      <c r="AI212" s="8"/>
      <c r="AL212" s="8"/>
    </row>
    <row r="213" spans="5:38" x14ac:dyDescent="0.25">
      <c r="E213" s="8"/>
      <c r="F213" s="8"/>
      <c r="G213" s="8"/>
      <c r="H213" s="8"/>
      <c r="I213" s="8"/>
      <c r="J213" s="8"/>
      <c r="K213" s="8"/>
      <c r="N213" s="8"/>
      <c r="Q213" s="8"/>
      <c r="T213" s="8"/>
      <c r="W213" s="8"/>
      <c r="Z213" s="8"/>
      <c r="AC213" s="8"/>
      <c r="AF213" s="8"/>
      <c r="AI213" s="8"/>
      <c r="AL213" s="8"/>
    </row>
    <row r="214" spans="5:38" x14ac:dyDescent="0.25">
      <c r="E214" s="8"/>
      <c r="F214" s="8"/>
      <c r="G214" s="8"/>
      <c r="H214" s="8"/>
      <c r="I214" s="8"/>
      <c r="J214" s="8"/>
      <c r="K214" s="8"/>
      <c r="N214" s="8"/>
      <c r="Q214" s="8"/>
      <c r="T214" s="8"/>
      <c r="W214" s="8"/>
      <c r="Z214" s="8"/>
      <c r="AC214" s="8"/>
      <c r="AF214" s="8"/>
      <c r="AI214" s="8"/>
      <c r="AL214" s="8"/>
    </row>
    <row r="215" spans="5:38" x14ac:dyDescent="0.25">
      <c r="E215" s="8"/>
      <c r="F215" s="8"/>
      <c r="G215" s="8"/>
      <c r="H215" s="8"/>
      <c r="I215" s="8"/>
      <c r="J215" s="8"/>
      <c r="K215" s="8"/>
      <c r="N215" s="8"/>
      <c r="Q215" s="8"/>
      <c r="T215" s="8"/>
      <c r="W215" s="8"/>
      <c r="Z215" s="8"/>
      <c r="AC215" s="8"/>
      <c r="AF215" s="8"/>
      <c r="AI215" s="8"/>
      <c r="AL215" s="8"/>
    </row>
    <row r="216" spans="5:38" x14ac:dyDescent="0.25">
      <c r="E216" s="8"/>
      <c r="F216" s="8"/>
      <c r="G216" s="8"/>
      <c r="H216" s="8"/>
      <c r="I216" s="8"/>
      <c r="J216" s="8"/>
      <c r="K216" s="8"/>
      <c r="N216" s="8"/>
      <c r="Q216" s="8"/>
      <c r="T216" s="8"/>
      <c r="W216" s="8"/>
      <c r="Z216" s="8"/>
      <c r="AC216" s="8"/>
      <c r="AF216" s="8"/>
      <c r="AI216" s="8"/>
      <c r="AL216" s="8"/>
    </row>
    <row r="217" spans="5:38" x14ac:dyDescent="0.25">
      <c r="E217" s="8"/>
      <c r="F217" s="8"/>
      <c r="G217" s="8"/>
      <c r="H217" s="8"/>
      <c r="I217" s="8"/>
      <c r="J217" s="8"/>
      <c r="K217" s="8"/>
      <c r="N217" s="8"/>
      <c r="Q217" s="8"/>
      <c r="T217" s="8"/>
      <c r="W217" s="8"/>
      <c r="Z217" s="8"/>
      <c r="AC217" s="8"/>
      <c r="AF217" s="8"/>
      <c r="AI217" s="8"/>
      <c r="AL217" s="8"/>
    </row>
    <row r="218" spans="5:38" x14ac:dyDescent="0.25">
      <c r="E218" s="8"/>
      <c r="F218" s="8"/>
      <c r="G218" s="8"/>
      <c r="H218" s="8"/>
      <c r="I218" s="8"/>
      <c r="J218" s="8"/>
      <c r="K218" s="8"/>
      <c r="N218" s="8"/>
      <c r="Q218" s="8"/>
      <c r="T218" s="8"/>
      <c r="W218" s="8"/>
      <c r="Z218" s="8"/>
      <c r="AC218" s="8"/>
      <c r="AF218" s="8"/>
      <c r="AI218" s="8"/>
      <c r="AL218" s="8"/>
    </row>
    <row r="219" spans="5:38" x14ac:dyDescent="0.25">
      <c r="E219" s="8"/>
      <c r="F219" s="8"/>
      <c r="G219" s="8"/>
      <c r="H219" s="8"/>
      <c r="I219" s="8"/>
      <c r="J219" s="8"/>
      <c r="K219" s="8"/>
      <c r="N219" s="8"/>
      <c r="Q219" s="8"/>
      <c r="T219" s="8"/>
      <c r="W219" s="8"/>
      <c r="Z219" s="8"/>
      <c r="AC219" s="8"/>
      <c r="AF219" s="8"/>
      <c r="AI219" s="8"/>
      <c r="AL219" s="8"/>
    </row>
    <row r="220" spans="5:38" x14ac:dyDescent="0.25">
      <c r="E220" s="8"/>
      <c r="F220" s="8"/>
      <c r="G220" s="8"/>
      <c r="H220" s="8"/>
      <c r="I220" s="8"/>
      <c r="J220" s="8"/>
      <c r="K220" s="8"/>
      <c r="N220" s="8"/>
      <c r="Q220" s="8"/>
      <c r="T220" s="8"/>
      <c r="W220" s="8"/>
      <c r="Z220" s="8"/>
      <c r="AC220" s="8"/>
      <c r="AF220" s="8"/>
      <c r="AI220" s="8"/>
      <c r="AL220" s="8"/>
    </row>
    <row r="221" spans="5:38" x14ac:dyDescent="0.25">
      <c r="E221" s="8"/>
      <c r="F221" s="8"/>
      <c r="G221" s="8"/>
      <c r="H221" s="8"/>
      <c r="I221" s="8"/>
      <c r="J221" s="8"/>
      <c r="K221" s="8"/>
      <c r="N221" s="8"/>
      <c r="Q221" s="8"/>
      <c r="T221" s="8"/>
      <c r="W221" s="8"/>
      <c r="Z221" s="8"/>
      <c r="AC221" s="8"/>
      <c r="AF221" s="8"/>
      <c r="AI221" s="8"/>
      <c r="AL221" s="8"/>
    </row>
    <row r="222" spans="5:38" x14ac:dyDescent="0.25">
      <c r="E222" s="8"/>
      <c r="F222" s="8"/>
      <c r="G222" s="8"/>
      <c r="H222" s="8"/>
      <c r="I222" s="8"/>
      <c r="J222" s="8"/>
      <c r="K222" s="8"/>
      <c r="N222" s="8"/>
      <c r="Q222" s="8"/>
      <c r="T222" s="8"/>
      <c r="W222" s="8"/>
      <c r="Z222" s="8"/>
      <c r="AC222" s="8"/>
      <c r="AF222" s="8"/>
      <c r="AI222" s="8"/>
      <c r="AL222" s="8"/>
    </row>
    <row r="223" spans="5:38" x14ac:dyDescent="0.25">
      <c r="E223" s="8"/>
      <c r="F223" s="8"/>
      <c r="G223" s="8"/>
      <c r="H223" s="8"/>
      <c r="I223" s="8"/>
      <c r="J223" s="8"/>
      <c r="K223" s="8"/>
      <c r="N223" s="8"/>
      <c r="Q223" s="8"/>
      <c r="T223" s="8"/>
      <c r="W223" s="8"/>
      <c r="Z223" s="8"/>
      <c r="AC223" s="8"/>
      <c r="AF223" s="8"/>
      <c r="AI223" s="8"/>
      <c r="AL223" s="8"/>
    </row>
    <row r="224" spans="5:38" x14ac:dyDescent="0.25">
      <c r="E224" s="8"/>
      <c r="F224" s="8"/>
      <c r="G224" s="8"/>
      <c r="H224" s="8"/>
      <c r="I224" s="8"/>
      <c r="J224" s="8"/>
      <c r="K224" s="8"/>
      <c r="N224" s="8"/>
      <c r="Q224" s="8"/>
      <c r="T224" s="8"/>
      <c r="W224" s="8"/>
      <c r="Z224" s="8"/>
      <c r="AC224" s="8"/>
      <c r="AF224" s="8"/>
      <c r="AI224" s="8"/>
      <c r="AL224" s="8"/>
    </row>
    <row r="225" spans="5:38" x14ac:dyDescent="0.25">
      <c r="E225" s="8"/>
      <c r="F225" s="8"/>
      <c r="G225" s="8"/>
      <c r="H225" s="8"/>
      <c r="I225" s="8"/>
      <c r="J225" s="8"/>
      <c r="K225" s="8"/>
      <c r="N225" s="8"/>
      <c r="Q225" s="8"/>
      <c r="T225" s="8"/>
      <c r="W225" s="8"/>
      <c r="Z225" s="8"/>
      <c r="AC225" s="8"/>
      <c r="AF225" s="8"/>
      <c r="AI225" s="8"/>
      <c r="AL225" s="8"/>
    </row>
    <row r="226" spans="5:38" x14ac:dyDescent="0.25">
      <c r="E226" s="8"/>
      <c r="F226" s="8"/>
      <c r="G226" s="8"/>
      <c r="H226" s="8"/>
      <c r="I226" s="8"/>
      <c r="J226" s="8"/>
      <c r="K226" s="8"/>
      <c r="N226" s="8"/>
      <c r="Q226" s="8"/>
      <c r="T226" s="8"/>
      <c r="W226" s="8"/>
      <c r="Z226" s="8"/>
      <c r="AC226" s="8"/>
      <c r="AF226" s="8"/>
      <c r="AI226" s="8"/>
      <c r="AL226" s="8"/>
    </row>
    <row r="227" spans="5:38" x14ac:dyDescent="0.25">
      <c r="E227" s="8"/>
      <c r="F227" s="8"/>
      <c r="G227" s="8"/>
      <c r="H227" s="8"/>
      <c r="I227" s="8"/>
      <c r="J227" s="8"/>
      <c r="K227" s="8"/>
      <c r="N227" s="8"/>
      <c r="Q227" s="8"/>
      <c r="T227" s="8"/>
      <c r="W227" s="8"/>
      <c r="Z227" s="8"/>
      <c r="AC227" s="8"/>
      <c r="AF227" s="8"/>
      <c r="AI227" s="8"/>
      <c r="AL227" s="8"/>
    </row>
    <row r="228" spans="5:38" x14ac:dyDescent="0.25">
      <c r="E228" s="8"/>
      <c r="F228" s="8"/>
      <c r="G228" s="8"/>
      <c r="H228" s="8"/>
      <c r="I228" s="8"/>
      <c r="J228" s="8"/>
      <c r="K228" s="8"/>
      <c r="N228" s="8"/>
      <c r="Q228" s="8"/>
      <c r="T228" s="8"/>
      <c r="W228" s="8"/>
      <c r="Z228" s="8"/>
      <c r="AC228" s="8"/>
      <c r="AF228" s="8"/>
      <c r="AI228" s="8"/>
      <c r="AL228" s="8"/>
    </row>
    <row r="229" spans="5:38" x14ac:dyDescent="0.25">
      <c r="E229" s="8"/>
      <c r="F229" s="8"/>
      <c r="G229" s="8"/>
      <c r="H229" s="8"/>
      <c r="I229" s="8"/>
      <c r="J229" s="8"/>
      <c r="K229" s="8"/>
      <c r="N229" s="8"/>
      <c r="Q229" s="8"/>
      <c r="T229" s="8"/>
      <c r="W229" s="8"/>
      <c r="Z229" s="8"/>
      <c r="AC229" s="8"/>
      <c r="AF229" s="8"/>
      <c r="AI229" s="8"/>
      <c r="AL229" s="8"/>
    </row>
    <row r="230" spans="5:38" x14ac:dyDescent="0.25">
      <c r="E230" s="8"/>
      <c r="F230" s="8"/>
      <c r="G230" s="8"/>
      <c r="H230" s="8"/>
      <c r="I230" s="8"/>
      <c r="J230" s="8"/>
      <c r="K230" s="8"/>
      <c r="N230" s="8"/>
      <c r="Q230" s="8"/>
      <c r="T230" s="8"/>
      <c r="W230" s="8"/>
      <c r="Z230" s="8"/>
      <c r="AC230" s="8"/>
      <c r="AF230" s="8"/>
      <c r="AI230" s="8"/>
      <c r="AL230" s="8"/>
    </row>
    <row r="231" spans="5:38" x14ac:dyDescent="0.25">
      <c r="E231" s="8"/>
      <c r="F231" s="8"/>
      <c r="G231" s="8"/>
      <c r="H231" s="8"/>
      <c r="I231" s="8"/>
      <c r="J231" s="8"/>
      <c r="K231" s="8"/>
      <c r="N231" s="8"/>
      <c r="Q231" s="8"/>
      <c r="T231" s="8"/>
      <c r="W231" s="8"/>
      <c r="Z231" s="8"/>
      <c r="AC231" s="8"/>
      <c r="AF231" s="8"/>
      <c r="AI231" s="8"/>
      <c r="AL231" s="8"/>
    </row>
    <row r="232" spans="5:38" x14ac:dyDescent="0.25">
      <c r="E232" s="8"/>
      <c r="F232" s="8"/>
      <c r="G232" s="8"/>
      <c r="H232" s="8"/>
      <c r="I232" s="8"/>
      <c r="J232" s="8"/>
      <c r="K232" s="8"/>
      <c r="N232" s="8"/>
      <c r="Q232" s="8"/>
      <c r="T232" s="8"/>
      <c r="W232" s="8"/>
      <c r="Z232" s="8"/>
      <c r="AC232" s="8"/>
      <c r="AF232" s="8"/>
      <c r="AI232" s="8"/>
      <c r="AL232" s="8"/>
    </row>
    <row r="233" spans="5:38" x14ac:dyDescent="0.25">
      <c r="E233" s="8"/>
      <c r="F233" s="8"/>
      <c r="G233" s="8"/>
      <c r="H233" s="8"/>
      <c r="I233" s="8"/>
      <c r="J233" s="8"/>
      <c r="K233" s="8"/>
      <c r="N233" s="8"/>
      <c r="Q233" s="8"/>
      <c r="T233" s="8"/>
      <c r="W233" s="8"/>
      <c r="Z233" s="8"/>
      <c r="AC233" s="8"/>
      <c r="AF233" s="8"/>
      <c r="AI233" s="8"/>
      <c r="AL233" s="8"/>
    </row>
    <row r="234" spans="5:38" x14ac:dyDescent="0.25">
      <c r="E234" s="8"/>
      <c r="F234" s="8"/>
      <c r="G234" s="8"/>
      <c r="H234" s="8"/>
      <c r="I234" s="8"/>
      <c r="J234" s="8"/>
      <c r="K234" s="8"/>
      <c r="N234" s="8"/>
      <c r="Q234" s="8"/>
      <c r="T234" s="8"/>
      <c r="W234" s="8"/>
      <c r="Z234" s="8"/>
      <c r="AC234" s="8"/>
      <c r="AF234" s="8"/>
      <c r="AI234" s="8"/>
      <c r="AL234" s="8"/>
    </row>
    <row r="235" spans="5:38" x14ac:dyDescent="0.25">
      <c r="E235" s="8"/>
      <c r="F235" s="8"/>
      <c r="G235" s="8"/>
      <c r="H235" s="8"/>
      <c r="I235" s="8"/>
      <c r="J235" s="8"/>
      <c r="K235" s="8"/>
      <c r="N235" s="8"/>
      <c r="Q235" s="8"/>
      <c r="T235" s="8"/>
      <c r="W235" s="8"/>
      <c r="Z235" s="8"/>
      <c r="AC235" s="8"/>
      <c r="AF235" s="8"/>
      <c r="AI235" s="8"/>
      <c r="AL235" s="8"/>
    </row>
    <row r="236" spans="5:38" x14ac:dyDescent="0.25">
      <c r="E236" s="8"/>
      <c r="F236" s="8"/>
      <c r="G236" s="8"/>
      <c r="H236" s="8"/>
      <c r="I236" s="8"/>
      <c r="J236" s="8"/>
      <c r="K236" s="8"/>
      <c r="N236" s="8"/>
      <c r="Q236" s="8"/>
      <c r="T236" s="8"/>
      <c r="W236" s="8"/>
      <c r="Z236" s="8"/>
      <c r="AC236" s="8"/>
      <c r="AF236" s="8"/>
      <c r="AI236" s="8"/>
      <c r="AL236" s="8"/>
    </row>
    <row r="237" spans="5:38" x14ac:dyDescent="0.25">
      <c r="E237" s="8"/>
      <c r="F237" s="8"/>
      <c r="G237" s="8"/>
      <c r="H237" s="8"/>
      <c r="I237" s="8"/>
      <c r="J237" s="8"/>
      <c r="K237" s="8"/>
      <c r="N237" s="8"/>
      <c r="Q237" s="8"/>
      <c r="T237" s="8"/>
      <c r="W237" s="8"/>
      <c r="Z237" s="8"/>
      <c r="AC237" s="8"/>
      <c r="AF237" s="8"/>
      <c r="AI237" s="8"/>
      <c r="AL237" s="8"/>
    </row>
    <row r="238" spans="5:38" x14ac:dyDescent="0.25">
      <c r="E238" s="8"/>
      <c r="F238" s="8"/>
      <c r="G238" s="8"/>
      <c r="H238" s="8"/>
      <c r="I238" s="8"/>
      <c r="J238" s="8"/>
      <c r="K238" s="8"/>
      <c r="N238" s="8"/>
      <c r="Q238" s="8"/>
      <c r="T238" s="8"/>
      <c r="W238" s="8"/>
      <c r="Z238" s="8"/>
      <c r="AC238" s="8"/>
      <c r="AF238" s="8"/>
      <c r="AI238" s="8"/>
      <c r="AL238" s="8"/>
    </row>
    <row r="239" spans="5:38" x14ac:dyDescent="0.25">
      <c r="E239" s="8"/>
      <c r="F239" s="8"/>
      <c r="G239" s="8"/>
      <c r="H239" s="8"/>
      <c r="I239" s="8"/>
      <c r="J239" s="8"/>
      <c r="K239" s="8"/>
      <c r="N239" s="8"/>
      <c r="Q239" s="8"/>
      <c r="T239" s="8"/>
      <c r="W239" s="8"/>
      <c r="Z239" s="8"/>
      <c r="AC239" s="8"/>
      <c r="AF239" s="8"/>
      <c r="AI239" s="8"/>
      <c r="AL239" s="8"/>
    </row>
    <row r="240" spans="5:38" x14ac:dyDescent="0.25">
      <c r="E240" s="8"/>
      <c r="F240" s="8"/>
      <c r="G240" s="8"/>
      <c r="H240" s="8"/>
      <c r="I240" s="8"/>
      <c r="J240" s="8"/>
      <c r="K240" s="8"/>
      <c r="N240" s="8"/>
      <c r="Q240" s="8"/>
      <c r="T240" s="8"/>
      <c r="W240" s="8"/>
      <c r="Z240" s="8"/>
      <c r="AC240" s="8"/>
      <c r="AF240" s="8"/>
      <c r="AI240" s="8"/>
      <c r="AL240" s="8"/>
    </row>
    <row r="241" spans="5:38" x14ac:dyDescent="0.25">
      <c r="E241" s="8"/>
      <c r="F241" s="8"/>
      <c r="G241" s="8"/>
      <c r="H241" s="8"/>
      <c r="I241" s="8"/>
      <c r="J241" s="8"/>
      <c r="K241" s="8"/>
      <c r="N241" s="8"/>
      <c r="Q241" s="8"/>
      <c r="T241" s="8"/>
      <c r="W241" s="8"/>
      <c r="Z241" s="8"/>
      <c r="AC241" s="8"/>
      <c r="AF241" s="8"/>
      <c r="AI241" s="8"/>
      <c r="AL241" s="8"/>
    </row>
    <row r="242" spans="5:38" x14ac:dyDescent="0.25">
      <c r="E242" s="8"/>
      <c r="F242" s="8"/>
      <c r="G242" s="8"/>
      <c r="H242" s="8"/>
      <c r="I242" s="8"/>
      <c r="J242" s="8"/>
      <c r="K242" s="8"/>
      <c r="N242" s="8"/>
      <c r="Q242" s="8"/>
      <c r="T242" s="8"/>
      <c r="W242" s="8"/>
      <c r="Z242" s="8"/>
      <c r="AC242" s="8"/>
      <c r="AF242" s="8"/>
      <c r="AI242" s="8"/>
      <c r="AL242" s="8"/>
    </row>
    <row r="243" spans="5:38" x14ac:dyDescent="0.25">
      <c r="E243" s="8"/>
      <c r="F243" s="8"/>
      <c r="G243" s="8"/>
      <c r="H243" s="8"/>
      <c r="I243" s="8"/>
      <c r="J243" s="8"/>
      <c r="K243" s="8"/>
      <c r="N243" s="8"/>
      <c r="Q243" s="8"/>
      <c r="T243" s="8"/>
      <c r="W243" s="8"/>
      <c r="Z243" s="8"/>
      <c r="AC243" s="8"/>
      <c r="AF243" s="8"/>
      <c r="AI243" s="8"/>
      <c r="AL243" s="8"/>
    </row>
  </sheetData>
  <autoFilter ref="B2:AO150" xr:uid="{00000000-0009-0000-0000-000001000000}">
    <filterColumn colId="0">
      <filters blank="1"/>
    </filterColumn>
    <filterColumn colId="1">
      <filters>
        <filter val="&quot;AltGamers&quot;"/>
        <filter val="&quot;Biba un Buba&quot;"/>
        <filter val="&quot;Inside out&quot;"/>
        <filter val="“Idea! SMS”"/>
        <filter val="“Rawr”"/>
        <filter val="2+1"/>
        <filter val="6. Elements"/>
        <filter val="AAProud"/>
        <filter val="Alfa, Beta un Epsilon"/>
        <filter val="Apaļā galda bruņinieki"/>
        <filter val="Arkādijas prāti"/>
        <filter val="Atjautības avoti"/>
        <filter val="Aukstā plauksta"/>
        <filter val="Bārijs un Broms"/>
        <filter val="Betons 49"/>
        <filter val="Bezgalības izaicinātāji"/>
        <filter val="Bleibleids"/>
        <filter val="Bread crumbs"/>
        <filter val="Cietpauri"/>
        <filter val="Cīnītāji"/>
        <filter val="ComOne"/>
        <filter val="ComTwo"/>
        <filter val="Čakstēni"/>
        <filter val="Čebupeli"/>
        <filter val="Dirižablis"/>
        <filter val="Domā, loģiski!"/>
        <filter val="El Machos"/>
        <filter val="ĒSA"/>
        <filter val="FosGang"/>
        <filter val="Gandrīz izglītotā armija"/>
        <filter val="Gudrinieki"/>
        <filter val="Gudrības avoti"/>
        <filter val="Ģeometriski regresīvie"/>
        <filter val="I-B SMART"/>
        <filter val="IB winning"/>
        <filter val="Idea! SMS"/>
        <filter val="IPK"/>
        <filter val="IPS"/>
        <filter val="Kambalance"/>
        <filter val="Komandas nosaukums"/>
        <filter val="Komandas nosaukums (Rīgas 13. vidusskola)"/>
        <filter val="Komandas nosaukums (Rīgas 6. vidusskola)"/>
        <filter val="Kurbulētāji"/>
        <filter val="Ķerkers"/>
        <filter val="Ķirsīši"/>
        <filter val="Labs jautājums"/>
        <filter val="Lambda"/>
        <filter val="lg96"/>
        <filter val="Loģiskie cālīši"/>
        <filter val="Luz de esperanza"/>
        <filter val="MAD"/>
        <filter val="Maija Seratinska"/>
        <filter val="Makabi"/>
        <filter val="MAP"/>
        <filter val="Marija Karija"/>
        <filter val="Maskačkas puzlētāji 1"/>
        <filter val="Maskačkas puzlētāji 2"/>
        <filter val="mežmaži"/>
        <filter val="Mira aurora"/>
        <filter val="Mums kļūda"/>
        <filter val="Negative IQ"/>
        <filter val="Negatīvie IQ"/>
        <filter val="Oho!"/>
        <filter val="Ostvalds 11"/>
        <filter val="Ostvalds 12"/>
        <filter val="Pedro"/>
        <filter val="Polaris"/>
        <filter val="Prāta gabaliņi"/>
        <filter val="Prāta negaiss"/>
        <filter val="Pužļotāji"/>
        <filter val="PVN"/>
        <filter val="r10vs11"/>
        <filter val="r10vs12"/>
        <filter val="Razbainieki"/>
        <filter val="Reversīvie prāti"/>
        <filter val="RIR"/>
        <filter val="Rødgrød med fløde"/>
        <filter val="Rozā brilles"/>
        <filter val="Rubiks"/>
        <filter val="Shenzhen Ballers"/>
        <filter val="Skill issue"/>
        <filter val="SonicX"/>
        <filter val="Spotlight"/>
        <filter val="Sprīdīši"/>
        <filter val="Sviestmaizītes"/>
        <filter val="Šokolādes pudiņš"/>
        <filter val="Tandēms"/>
        <filter val="Trigonometrija"/>
        <filter val="Valdemāra gurķi"/>
        <filter val="VECTOR"/>
        <filter val="Veiksmīgais bizbizMārītis"/>
        <filter val="Viņķeļi"/>
        <filter val="Vīri melnā"/>
        <filter val="vīrišķīgs"/>
        <filter val="XYZ"/>
        <filter val="Zvaigznītes"/>
      </filters>
    </filterColumn>
  </autoFilter>
  <conditionalFormatting sqref="D1:D1001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"/>
  <sheetViews>
    <sheetView workbookViewId="0"/>
  </sheetViews>
  <sheetFormatPr defaultColWidth="14.42578125" defaultRowHeight="15" customHeight="1" x14ac:dyDescent="0.25"/>
  <sheetData>
    <row r="1" spans="1:2" x14ac:dyDescent="0.25">
      <c r="A1" s="7" t="s">
        <v>167</v>
      </c>
      <c r="B1" s="7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Rezultāti</vt:lpstr>
      <vt:lpstr>Raw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Zane Biteniece</cp:lastModifiedBy>
  <cp:lastPrinted>2024-11-11T10:51:20Z</cp:lastPrinted>
  <dcterms:modified xsi:type="dcterms:W3CDTF">2024-11-11T11:09:23Z</dcterms:modified>
</cp:coreProperties>
</file>